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Прейскуранты_2025\ТВЕРЬ\"/>
    </mc:Choice>
  </mc:AlternateContent>
  <bookViews>
    <workbookView xWindow="0" yWindow="0" windowWidth="28800" windowHeight="12330" tabRatio="877" activeTab="7"/>
  </bookViews>
  <sheets>
    <sheet name="Предложения" sheetId="55" r:id="rId1"/>
    <sheet name="РАСЧЕТ по Банкам" sheetId="61" r:id="rId2"/>
    <sheet name="Кольцово Акция до 31.03." sheetId="57" r:id="rId3"/>
    <sheet name="ЖК ВЛ АКЦИЯ до 31.03." sheetId="54" r:id="rId4"/>
    <sheet name="ЖК ВЛ" sheetId="36" r:id="rId5"/>
    <sheet name="ЖК ЛМ3 Акция до 31.03" sheetId="56" r:id="rId6"/>
    <sheet name="ЖК ЛМ3" sheetId="35" r:id="rId7"/>
    <sheet name="ЖК Медовый" sheetId="42" r:id="rId8"/>
  </sheets>
  <definedNames>
    <definedName name="_xlnm._FilterDatabase" localSheetId="4" hidden="1">'ЖК ВЛ'!#REF!</definedName>
    <definedName name="_xlnm._FilterDatabase" localSheetId="3" hidden="1">'ЖК ВЛ АКЦИЯ до 31.03.'!#REF!</definedName>
  </definedNames>
  <calcPr calcId="162913"/>
</workbook>
</file>

<file path=xl/calcChain.xml><?xml version="1.0" encoding="utf-8"?>
<calcChain xmlns="http://schemas.openxmlformats.org/spreadsheetml/2006/main">
  <c r="E136" i="42" l="1"/>
  <c r="C136" i="42"/>
  <c r="E135" i="42"/>
  <c r="C135" i="42"/>
  <c r="E134" i="42"/>
  <c r="C134" i="42"/>
  <c r="E133" i="42"/>
  <c r="C133" i="42"/>
  <c r="E132" i="42"/>
  <c r="C132" i="42"/>
  <c r="E131" i="42"/>
  <c r="C131" i="42"/>
  <c r="E130" i="42"/>
  <c r="C130" i="42"/>
  <c r="G81" i="56"/>
  <c r="E81" i="56"/>
  <c r="C81" i="56"/>
  <c r="E80" i="56"/>
  <c r="C80" i="56"/>
  <c r="G79" i="56"/>
  <c r="E79" i="56"/>
  <c r="C79" i="56"/>
  <c r="G78" i="56"/>
  <c r="E78" i="56"/>
  <c r="C78" i="56"/>
  <c r="G77" i="56"/>
  <c r="E77" i="56"/>
  <c r="C77" i="56"/>
  <c r="G76" i="56"/>
  <c r="E76" i="56"/>
  <c r="G75" i="56"/>
  <c r="E75" i="56"/>
  <c r="C75" i="56"/>
  <c r="G74" i="56"/>
  <c r="E74" i="56"/>
  <c r="C74" i="56"/>
  <c r="G73" i="56"/>
  <c r="E73" i="56"/>
  <c r="C73" i="56"/>
  <c r="G72" i="56"/>
  <c r="E72" i="56"/>
  <c r="C72" i="56"/>
  <c r="G71" i="56"/>
  <c r="E71" i="56"/>
  <c r="C71" i="56"/>
  <c r="G70" i="56"/>
  <c r="E70" i="56"/>
  <c r="C70" i="56"/>
  <c r="G69" i="56"/>
  <c r="E69" i="56"/>
  <c r="C69" i="56"/>
  <c r="G68" i="56"/>
  <c r="E68" i="56"/>
  <c r="C68" i="56"/>
  <c r="G67" i="56"/>
  <c r="E67" i="56"/>
  <c r="C67" i="56"/>
  <c r="G66" i="56"/>
  <c r="E66" i="56"/>
  <c r="I65" i="56"/>
  <c r="G65" i="56"/>
  <c r="G61" i="56"/>
  <c r="E61" i="56"/>
  <c r="C61" i="56"/>
  <c r="E60" i="56"/>
  <c r="C60" i="56"/>
  <c r="G59" i="56"/>
  <c r="E59" i="56"/>
  <c r="C59" i="56"/>
  <c r="G58" i="56"/>
  <c r="E58" i="56"/>
  <c r="C58" i="56"/>
  <c r="G57" i="56"/>
  <c r="E57" i="56"/>
  <c r="C57" i="56"/>
  <c r="G56" i="56"/>
  <c r="E56" i="56"/>
  <c r="G55" i="56"/>
  <c r="E55" i="56"/>
  <c r="C55" i="56"/>
  <c r="G54" i="56"/>
  <c r="E54" i="56"/>
  <c r="C54" i="56"/>
  <c r="G53" i="56"/>
  <c r="E53" i="56"/>
  <c r="C53" i="56"/>
  <c r="G52" i="56"/>
  <c r="E52" i="56"/>
  <c r="C52" i="56"/>
  <c r="G51" i="56"/>
  <c r="E51" i="56"/>
  <c r="C51" i="56"/>
  <c r="G50" i="56"/>
  <c r="E50" i="56"/>
  <c r="C50" i="56"/>
  <c r="G49" i="56"/>
  <c r="E49" i="56"/>
  <c r="C49" i="56"/>
  <c r="G48" i="56"/>
  <c r="E48" i="56"/>
  <c r="C48" i="56"/>
  <c r="G47" i="56"/>
  <c r="E47" i="56"/>
  <c r="C47" i="56"/>
  <c r="G46" i="56"/>
  <c r="E46" i="56"/>
  <c r="I45" i="56"/>
  <c r="G45" i="56"/>
  <c r="I123" i="54"/>
  <c r="G123" i="54"/>
  <c r="E123" i="54"/>
  <c r="C123" i="54"/>
  <c r="I122" i="54"/>
  <c r="G122" i="54"/>
  <c r="E122" i="54"/>
  <c r="C122" i="54"/>
  <c r="I121" i="54"/>
  <c r="G121" i="54"/>
  <c r="E121" i="54"/>
  <c r="C121" i="54"/>
  <c r="I120" i="54"/>
  <c r="G120" i="54"/>
  <c r="E120" i="54"/>
  <c r="C120" i="54"/>
  <c r="I119" i="54"/>
  <c r="G119" i="54"/>
  <c r="E119" i="54"/>
  <c r="C119" i="54"/>
  <c r="I118" i="54"/>
  <c r="G118" i="54"/>
  <c r="E118" i="54"/>
  <c r="C118" i="54"/>
  <c r="I117" i="54"/>
  <c r="G117" i="54"/>
  <c r="E117" i="54"/>
  <c r="C117" i="54"/>
  <c r="I116" i="54"/>
  <c r="G116" i="54"/>
  <c r="E116" i="54"/>
  <c r="C116" i="54"/>
  <c r="I115" i="54"/>
  <c r="G115" i="54"/>
  <c r="E115" i="54"/>
  <c r="C115" i="54"/>
  <c r="I114" i="54"/>
  <c r="G114" i="54"/>
  <c r="E114" i="54"/>
  <c r="C114" i="54"/>
  <c r="I113" i="54"/>
  <c r="G113" i="54"/>
  <c r="E113" i="54"/>
  <c r="C113" i="54"/>
  <c r="I112" i="54"/>
  <c r="G112" i="54"/>
  <c r="E112" i="54"/>
  <c r="C112" i="54"/>
  <c r="I111" i="54"/>
  <c r="G111" i="54"/>
  <c r="E111" i="54"/>
  <c r="C111" i="54"/>
  <c r="I110" i="54"/>
  <c r="G110" i="54"/>
  <c r="E110" i="54"/>
  <c r="C110" i="54"/>
  <c r="I109" i="54"/>
  <c r="G109" i="54"/>
  <c r="E109" i="54"/>
  <c r="C109" i="54"/>
  <c r="I108" i="54"/>
  <c r="G108" i="54"/>
  <c r="E108" i="54"/>
  <c r="C108" i="54"/>
  <c r="I107" i="54"/>
  <c r="G107" i="54"/>
  <c r="E107" i="54"/>
  <c r="C107" i="54"/>
  <c r="I106" i="54"/>
  <c r="G106" i="54"/>
  <c r="E106" i="54"/>
  <c r="C106" i="54"/>
  <c r="I105" i="54"/>
  <c r="G105" i="54"/>
  <c r="E105" i="54"/>
  <c r="C105" i="54"/>
  <c r="I104" i="54"/>
  <c r="G104" i="54"/>
  <c r="E104" i="54"/>
  <c r="C104" i="54"/>
  <c r="I103" i="54"/>
  <c r="G103" i="54"/>
  <c r="E103" i="54"/>
  <c r="C103" i="54"/>
  <c r="I102" i="54"/>
  <c r="G102" i="54"/>
  <c r="E102" i="54"/>
  <c r="C102" i="54"/>
  <c r="I101" i="54"/>
  <c r="G101" i="54"/>
  <c r="E101" i="54"/>
  <c r="C101" i="54"/>
  <c r="I100" i="54"/>
  <c r="G100" i="54"/>
  <c r="E100" i="54"/>
  <c r="C100" i="54"/>
  <c r="I99" i="54"/>
  <c r="G99" i="54"/>
  <c r="E99" i="54"/>
  <c r="C99" i="54"/>
  <c r="I98" i="54"/>
  <c r="G98" i="54"/>
  <c r="E98" i="54"/>
  <c r="C98" i="54"/>
  <c r="I97" i="54"/>
  <c r="G97" i="54"/>
  <c r="E97" i="54"/>
  <c r="C97" i="54"/>
  <c r="I96" i="54"/>
  <c r="G96" i="54"/>
  <c r="E96" i="54"/>
  <c r="C96" i="54"/>
  <c r="I92" i="54"/>
  <c r="G92" i="54"/>
  <c r="E92" i="54"/>
  <c r="C92" i="54"/>
  <c r="I91" i="54"/>
  <c r="G91" i="54"/>
  <c r="E91" i="54"/>
  <c r="C91" i="54"/>
  <c r="I90" i="54"/>
  <c r="G90" i="54"/>
  <c r="E90" i="54"/>
  <c r="C90" i="54"/>
  <c r="I89" i="54"/>
  <c r="G89" i="54"/>
  <c r="E89" i="54"/>
  <c r="C89" i="54"/>
  <c r="I88" i="54"/>
  <c r="G88" i="54"/>
  <c r="E88" i="54"/>
  <c r="C88" i="54"/>
  <c r="I87" i="54"/>
  <c r="G87" i="54"/>
  <c r="E87" i="54"/>
  <c r="C87" i="54"/>
  <c r="I86" i="54"/>
  <c r="G86" i="54"/>
  <c r="E86" i="54"/>
  <c r="C86" i="54"/>
  <c r="I85" i="54"/>
  <c r="G85" i="54"/>
  <c r="E85" i="54"/>
  <c r="C85" i="54"/>
  <c r="I84" i="54"/>
  <c r="G84" i="54"/>
  <c r="E84" i="54"/>
  <c r="C84" i="54"/>
  <c r="I83" i="54"/>
  <c r="G83" i="54"/>
  <c r="E83" i="54"/>
  <c r="C83" i="54"/>
  <c r="I82" i="54"/>
  <c r="G82" i="54"/>
  <c r="E82" i="54"/>
  <c r="C82" i="54"/>
  <c r="I81" i="54"/>
  <c r="G81" i="54"/>
  <c r="E81" i="54"/>
  <c r="C81" i="54"/>
  <c r="I80" i="54"/>
  <c r="G80" i="54"/>
  <c r="E80" i="54"/>
  <c r="C80" i="54"/>
  <c r="I79" i="54"/>
  <c r="G79" i="54"/>
  <c r="E79" i="54"/>
  <c r="C79" i="54"/>
  <c r="I78" i="54"/>
  <c r="G78" i="54"/>
  <c r="E78" i="54"/>
  <c r="C78" i="54"/>
  <c r="I77" i="54"/>
  <c r="G77" i="54"/>
  <c r="E77" i="54"/>
  <c r="C77" i="54"/>
  <c r="I76" i="54"/>
  <c r="G76" i="54"/>
  <c r="E76" i="54"/>
  <c r="C76" i="54"/>
  <c r="I75" i="54"/>
  <c r="G75" i="54"/>
  <c r="E75" i="54"/>
  <c r="C75" i="54"/>
  <c r="I74" i="54"/>
  <c r="G74" i="54"/>
  <c r="E74" i="54"/>
  <c r="C74" i="54"/>
  <c r="I73" i="54"/>
  <c r="G73" i="54"/>
  <c r="E73" i="54"/>
  <c r="C73" i="54"/>
  <c r="I72" i="54"/>
  <c r="G72" i="54"/>
  <c r="E72" i="54"/>
  <c r="C72" i="54"/>
  <c r="I71" i="54"/>
  <c r="G71" i="54"/>
  <c r="E71" i="54"/>
  <c r="C71" i="54"/>
  <c r="I70" i="54"/>
  <c r="G70" i="54"/>
  <c r="E70" i="54"/>
  <c r="C70" i="54"/>
  <c r="I69" i="54"/>
  <c r="G69" i="54"/>
  <c r="E69" i="54"/>
  <c r="C69" i="54"/>
  <c r="I68" i="54"/>
  <c r="G68" i="54"/>
  <c r="E68" i="54"/>
  <c r="C68" i="54"/>
  <c r="I67" i="54"/>
  <c r="G67" i="54"/>
  <c r="E67" i="54"/>
  <c r="C67" i="54"/>
  <c r="I66" i="54"/>
  <c r="G66" i="54"/>
  <c r="E66" i="54"/>
  <c r="C66" i="54"/>
  <c r="I65" i="54"/>
  <c r="G65" i="54"/>
  <c r="E65" i="54"/>
  <c r="C65" i="54"/>
  <c r="G4" i="57"/>
  <c r="G5" i="57"/>
  <c r="G6" i="57"/>
  <c r="G7" i="57"/>
  <c r="G8" i="57"/>
  <c r="G9" i="57"/>
  <c r="G10" i="57"/>
  <c r="G11" i="57"/>
  <c r="G12" i="57"/>
  <c r="G13" i="57"/>
  <c r="G3" i="57"/>
  <c r="F4" i="57"/>
  <c r="F5" i="57"/>
  <c r="F6" i="57"/>
  <c r="F7" i="57"/>
  <c r="F8" i="57"/>
  <c r="F9" i="57"/>
  <c r="F10" i="57"/>
  <c r="F11" i="57"/>
  <c r="F12" i="57"/>
  <c r="F13" i="57"/>
  <c r="F3" i="57"/>
  <c r="B22" i="61"/>
  <c r="C22" i="61" s="1"/>
  <c r="B17" i="61"/>
  <c r="C17" i="61" s="1"/>
  <c r="A17" i="61"/>
  <c r="B12" i="61"/>
  <c r="C12" i="61" s="1"/>
  <c r="A12" i="61"/>
  <c r="B8" i="61"/>
  <c r="C8" i="61" s="1"/>
  <c r="D8" i="61" s="1"/>
  <c r="E8" i="61" s="1"/>
  <c r="A8" i="61"/>
  <c r="B4" i="61"/>
  <c r="C4" i="61" s="1"/>
  <c r="A4" i="61"/>
  <c r="F8" i="61" l="1"/>
  <c r="G8" i="61" s="1"/>
  <c r="D22" i="61"/>
  <c r="E22" i="61" s="1"/>
  <c r="F22" i="61" s="1"/>
  <c r="G22" i="61" s="1"/>
  <c r="D4" i="61"/>
  <c r="E4" i="61" s="1"/>
  <c r="F4" i="61" s="1"/>
  <c r="G4" i="61" s="1"/>
  <c r="D12" i="61"/>
  <c r="E12" i="61" s="1"/>
  <c r="F12" i="61" s="1"/>
  <c r="G12" i="61" s="1"/>
  <c r="D17" i="61"/>
  <c r="E17" i="61" s="1"/>
  <c r="F17" i="61" s="1"/>
  <c r="G17" i="61" s="1"/>
  <c r="D13" i="57" l="1"/>
  <c r="D12" i="57"/>
  <c r="D11" i="57"/>
  <c r="D9" i="57"/>
  <c r="D8" i="57"/>
  <c r="D7" i="57"/>
  <c r="D6" i="57"/>
  <c r="D5" i="57"/>
  <c r="D4" i="57"/>
  <c r="D3" i="57"/>
  <c r="E107" i="42" l="1"/>
  <c r="C107" i="42"/>
  <c r="E106" i="42"/>
  <c r="C106" i="42"/>
  <c r="E105" i="42"/>
  <c r="C105" i="42"/>
  <c r="E104" i="42"/>
  <c r="C104" i="42"/>
  <c r="E103" i="42"/>
  <c r="C103" i="42"/>
  <c r="E102" i="42"/>
  <c r="C102" i="42"/>
  <c r="E101" i="42"/>
  <c r="C101" i="42"/>
  <c r="E100" i="42"/>
  <c r="C100" i="42"/>
  <c r="E99" i="42"/>
  <c r="C99" i="42"/>
  <c r="E98" i="42"/>
  <c r="C98" i="42"/>
  <c r="E97" i="42"/>
  <c r="C97" i="42"/>
  <c r="E96" i="42"/>
  <c r="C96" i="42"/>
  <c r="E95" i="42"/>
  <c r="C95" i="42"/>
  <c r="E94" i="42"/>
  <c r="C94" i="42"/>
  <c r="E93" i="42"/>
  <c r="C93" i="42"/>
  <c r="E92" i="42"/>
  <c r="C92" i="42"/>
  <c r="E91" i="42"/>
  <c r="C91" i="42"/>
  <c r="E90" i="42"/>
  <c r="C90" i="42"/>
  <c r="E89" i="42"/>
  <c r="C89" i="42"/>
  <c r="E88" i="42"/>
  <c r="C88" i="42"/>
  <c r="E87" i="42"/>
  <c r="C87" i="42"/>
  <c r="E86" i="42"/>
  <c r="C86" i="42"/>
  <c r="E85" i="42"/>
  <c r="C85" i="42"/>
  <c r="E84" i="42"/>
  <c r="C84" i="42"/>
  <c r="E83" i="42"/>
  <c r="C83" i="42"/>
  <c r="E82" i="42"/>
  <c r="C82" i="42"/>
  <c r="E81" i="42"/>
  <c r="C81" i="42"/>
  <c r="E80" i="42"/>
  <c r="C80" i="42"/>
  <c r="E79" i="42"/>
  <c r="C79" i="42"/>
  <c r="C78" i="42"/>
  <c r="C77" i="42"/>
  <c r="C76" i="42"/>
  <c r="C75" i="42"/>
  <c r="I43" i="35" l="1"/>
  <c r="G44" i="35"/>
  <c r="G45" i="35"/>
  <c r="G46" i="35"/>
  <c r="G47" i="35"/>
  <c r="G48" i="35"/>
  <c r="G49" i="35"/>
  <c r="G50" i="35"/>
  <c r="G51" i="35"/>
  <c r="G52" i="35"/>
  <c r="G53" i="35"/>
  <c r="G54" i="35"/>
  <c r="G55" i="35"/>
  <c r="G56" i="35"/>
  <c r="G57" i="35"/>
  <c r="G58" i="35"/>
  <c r="G59" i="35"/>
  <c r="G43" i="35"/>
  <c r="E45" i="35"/>
  <c r="E46" i="35"/>
  <c r="E47" i="35"/>
  <c r="E48" i="35"/>
  <c r="E49" i="35"/>
  <c r="E50" i="35"/>
  <c r="E51" i="35"/>
  <c r="E52" i="35"/>
  <c r="E53" i="35"/>
  <c r="E54" i="35"/>
  <c r="E55" i="35"/>
  <c r="E56" i="35"/>
  <c r="E57" i="35"/>
  <c r="E58" i="35"/>
  <c r="E59" i="35"/>
  <c r="E44" i="35"/>
  <c r="C46" i="35"/>
  <c r="C47" i="35"/>
  <c r="C48" i="35"/>
  <c r="C49" i="35"/>
  <c r="C50" i="35"/>
  <c r="C51" i="35"/>
  <c r="C52" i="35"/>
  <c r="C53" i="35"/>
  <c r="C54" i="35"/>
  <c r="C55" i="35"/>
  <c r="C56" i="35"/>
  <c r="C57" i="35"/>
  <c r="C58" i="35"/>
  <c r="C59" i="35"/>
  <c r="C45" i="35"/>
  <c r="I25" i="56" l="1"/>
  <c r="E40" i="56"/>
  <c r="C40" i="56"/>
  <c r="G39" i="56"/>
  <c r="E39" i="56"/>
  <c r="C39" i="56"/>
  <c r="G38" i="56"/>
  <c r="E38" i="56"/>
  <c r="C38" i="56"/>
  <c r="G37" i="56"/>
  <c r="E37" i="56"/>
  <c r="C37" i="56"/>
  <c r="G36" i="56"/>
  <c r="E36" i="56"/>
  <c r="G35" i="56"/>
  <c r="E35" i="56"/>
  <c r="C35" i="56"/>
  <c r="G34" i="56"/>
  <c r="E34" i="56"/>
  <c r="C34" i="56"/>
  <c r="G33" i="56"/>
  <c r="E33" i="56"/>
  <c r="C33" i="56"/>
  <c r="G32" i="56"/>
  <c r="E32" i="56"/>
  <c r="C32" i="56"/>
  <c r="G31" i="56"/>
  <c r="E31" i="56"/>
  <c r="C31" i="56"/>
  <c r="G30" i="56"/>
  <c r="E30" i="56"/>
  <c r="C30" i="56"/>
  <c r="G29" i="56"/>
  <c r="E29" i="56"/>
  <c r="C29" i="56"/>
  <c r="G28" i="56"/>
  <c r="E28" i="56"/>
  <c r="C28" i="56"/>
  <c r="G27" i="56"/>
  <c r="E27" i="56"/>
  <c r="C27" i="56"/>
  <c r="G26" i="56"/>
  <c r="E26" i="56"/>
  <c r="G25" i="56"/>
  <c r="G4" i="56"/>
  <c r="G13" i="56"/>
  <c r="G14" i="56"/>
  <c r="E13" i="56"/>
  <c r="E14" i="56"/>
  <c r="E4" i="56"/>
  <c r="C13" i="56"/>
  <c r="H19" i="56"/>
  <c r="G19" i="56" s="1"/>
  <c r="H17" i="56"/>
  <c r="G17" i="56" s="1"/>
  <c r="F19" i="56"/>
  <c r="E19" i="56" s="1"/>
  <c r="F18" i="56"/>
  <c r="E18" i="56" s="1"/>
  <c r="F17" i="56"/>
  <c r="E17" i="56" s="1"/>
  <c r="D19" i="56"/>
  <c r="C19" i="56" s="1"/>
  <c r="D18" i="56"/>
  <c r="C18" i="56" s="1"/>
  <c r="D17" i="56"/>
  <c r="C17" i="56" s="1"/>
  <c r="H16" i="56"/>
  <c r="G16" i="56" s="1"/>
  <c r="H15" i="56"/>
  <c r="G15" i="56" s="1"/>
  <c r="F16" i="56"/>
  <c r="E16" i="56" s="1"/>
  <c r="F15" i="56"/>
  <c r="E15" i="56" s="1"/>
  <c r="D16" i="56"/>
  <c r="C16" i="56" s="1"/>
  <c r="D15" i="56"/>
  <c r="C15" i="56" s="1"/>
  <c r="H12" i="56"/>
  <c r="G12" i="56" s="1"/>
  <c r="H11" i="56"/>
  <c r="G11" i="56" s="1"/>
  <c r="H10" i="56"/>
  <c r="G10" i="56" s="1"/>
  <c r="F12" i="56"/>
  <c r="E12" i="56" s="1"/>
  <c r="F11" i="56"/>
  <c r="E11" i="56" s="1"/>
  <c r="F10" i="56"/>
  <c r="E10" i="56" s="1"/>
  <c r="D12" i="56"/>
  <c r="C12" i="56" s="1"/>
  <c r="D11" i="56"/>
  <c r="C11" i="56" s="1"/>
  <c r="D10" i="56"/>
  <c r="C10" i="56" s="1"/>
  <c r="H9" i="56"/>
  <c r="G9" i="56" s="1"/>
  <c r="H8" i="56"/>
  <c r="G8" i="56" s="1"/>
  <c r="F9" i="56"/>
  <c r="E9" i="56" s="1"/>
  <c r="F8" i="56"/>
  <c r="E8" i="56" s="1"/>
  <c r="D9" i="56"/>
  <c r="C9" i="56" s="1"/>
  <c r="D8" i="56"/>
  <c r="C8" i="56" s="1"/>
  <c r="H7" i="56"/>
  <c r="G7" i="56" s="1"/>
  <c r="H6" i="56"/>
  <c r="G6" i="56" s="1"/>
  <c r="F7" i="56"/>
  <c r="E7" i="56" s="1"/>
  <c r="F6" i="56"/>
  <c r="E6" i="56" s="1"/>
  <c r="D7" i="56"/>
  <c r="C7" i="56" s="1"/>
  <c r="D6" i="56"/>
  <c r="C6" i="56" s="1"/>
  <c r="H5" i="56"/>
  <c r="G5" i="56" s="1"/>
  <c r="F5" i="56"/>
  <c r="E5" i="56" s="1"/>
  <c r="D5" i="56"/>
  <c r="C5" i="56" s="1"/>
  <c r="J3" i="56"/>
  <c r="I3" i="56" s="1"/>
  <c r="H3" i="56"/>
  <c r="G3" i="56" s="1"/>
  <c r="E13" i="57"/>
  <c r="E12" i="57"/>
  <c r="E11" i="57"/>
  <c r="G41" i="56"/>
  <c r="E41" i="56"/>
  <c r="C41" i="56"/>
  <c r="E4" i="57" l="1"/>
  <c r="E6" i="57"/>
  <c r="E8" i="57"/>
  <c r="E5" i="57"/>
  <c r="E3" i="57"/>
  <c r="E9" i="57"/>
  <c r="E7" i="57"/>
  <c r="I30" i="54" l="1"/>
  <c r="G30" i="54"/>
  <c r="E30" i="54"/>
  <c r="C30" i="54"/>
  <c r="I29" i="54"/>
  <c r="G29" i="54"/>
  <c r="E29" i="54"/>
  <c r="C29" i="54"/>
  <c r="I28" i="54"/>
  <c r="G28" i="54"/>
  <c r="E28" i="54"/>
  <c r="C28" i="54"/>
  <c r="I27" i="54"/>
  <c r="G27" i="54"/>
  <c r="E27" i="54"/>
  <c r="C27" i="54"/>
  <c r="I26" i="54"/>
  <c r="G26" i="54"/>
  <c r="E26" i="54"/>
  <c r="C26" i="54"/>
  <c r="I25" i="54"/>
  <c r="G25" i="54"/>
  <c r="E25" i="54"/>
  <c r="C25" i="54"/>
  <c r="I24" i="54"/>
  <c r="G24" i="54"/>
  <c r="E24" i="54"/>
  <c r="C24" i="54"/>
  <c r="I23" i="54"/>
  <c r="G23" i="54"/>
  <c r="E23" i="54"/>
  <c r="C23" i="54"/>
  <c r="I22" i="54"/>
  <c r="G22" i="54"/>
  <c r="E22" i="54"/>
  <c r="C22" i="54"/>
  <c r="I21" i="54"/>
  <c r="G21" i="54"/>
  <c r="E21" i="54"/>
  <c r="C21" i="54"/>
  <c r="I20" i="54"/>
  <c r="G20" i="54"/>
  <c r="E20" i="54"/>
  <c r="C20" i="54"/>
  <c r="I19" i="54"/>
  <c r="G19" i="54"/>
  <c r="E19" i="54"/>
  <c r="C19" i="54"/>
  <c r="I18" i="54"/>
  <c r="G18" i="54"/>
  <c r="E18" i="54"/>
  <c r="C18" i="54"/>
  <c r="I17" i="54"/>
  <c r="G17" i="54"/>
  <c r="E17" i="54"/>
  <c r="C17" i="54"/>
  <c r="I16" i="54"/>
  <c r="G16" i="54"/>
  <c r="E16" i="54"/>
  <c r="C16" i="54"/>
  <c r="I15" i="54"/>
  <c r="G15" i="54"/>
  <c r="E15" i="54"/>
  <c r="C15" i="54"/>
  <c r="I14" i="54"/>
  <c r="G14" i="54"/>
  <c r="E14" i="54"/>
  <c r="C14" i="54"/>
  <c r="I13" i="54"/>
  <c r="G13" i="54"/>
  <c r="E13" i="54"/>
  <c r="C13" i="54"/>
  <c r="I12" i="54"/>
  <c r="G12" i="54"/>
  <c r="E12" i="54"/>
  <c r="C12" i="54"/>
  <c r="I11" i="54"/>
  <c r="G11" i="54"/>
  <c r="E11" i="54"/>
  <c r="C11" i="54"/>
  <c r="I10" i="54"/>
  <c r="G10" i="54"/>
  <c r="E10" i="54"/>
  <c r="C10" i="54"/>
  <c r="I9" i="54"/>
  <c r="G9" i="54"/>
  <c r="E9" i="54"/>
  <c r="C9" i="54"/>
  <c r="I8" i="54"/>
  <c r="G8" i="54"/>
  <c r="E8" i="54"/>
  <c r="C8" i="54"/>
  <c r="I7" i="54"/>
  <c r="G7" i="54"/>
  <c r="E7" i="54"/>
  <c r="C7" i="54"/>
  <c r="I6" i="54"/>
  <c r="G6" i="54"/>
  <c r="E6" i="54"/>
  <c r="C6" i="54"/>
  <c r="I5" i="54"/>
  <c r="G5" i="54"/>
  <c r="E5" i="54"/>
  <c r="C5" i="54"/>
  <c r="I4" i="54"/>
  <c r="G4" i="54"/>
  <c r="E4" i="54"/>
  <c r="C4" i="54"/>
  <c r="I3" i="54"/>
  <c r="G3" i="54"/>
  <c r="E3" i="54"/>
  <c r="C3" i="54"/>
  <c r="I61" i="54"/>
  <c r="G61" i="54"/>
  <c r="E61" i="54"/>
  <c r="C61" i="54"/>
  <c r="I60" i="54"/>
  <c r="G60" i="54"/>
  <c r="E60" i="54"/>
  <c r="C60" i="54"/>
  <c r="I59" i="54"/>
  <c r="G59" i="54"/>
  <c r="E59" i="54"/>
  <c r="C59" i="54"/>
  <c r="I58" i="54"/>
  <c r="G58" i="54"/>
  <c r="E58" i="54"/>
  <c r="C58" i="54"/>
  <c r="I57" i="54"/>
  <c r="G57" i="54"/>
  <c r="E57" i="54"/>
  <c r="C57" i="54"/>
  <c r="I56" i="54"/>
  <c r="G56" i="54"/>
  <c r="E56" i="54"/>
  <c r="C56" i="54"/>
  <c r="I55" i="54"/>
  <c r="G55" i="54"/>
  <c r="E55" i="54"/>
  <c r="C55" i="54"/>
  <c r="I54" i="54"/>
  <c r="G54" i="54"/>
  <c r="E54" i="54"/>
  <c r="C54" i="54"/>
  <c r="I53" i="54"/>
  <c r="G53" i="54"/>
  <c r="E53" i="54"/>
  <c r="C53" i="54"/>
  <c r="I52" i="54"/>
  <c r="G52" i="54"/>
  <c r="E52" i="54"/>
  <c r="C52" i="54"/>
  <c r="I51" i="54"/>
  <c r="G51" i="54"/>
  <c r="E51" i="54"/>
  <c r="C51" i="54"/>
  <c r="I50" i="54"/>
  <c r="G50" i="54"/>
  <c r="E50" i="54"/>
  <c r="C50" i="54"/>
  <c r="I49" i="54"/>
  <c r="G49" i="54"/>
  <c r="E49" i="54"/>
  <c r="C49" i="54"/>
  <c r="I48" i="54"/>
  <c r="G48" i="54"/>
  <c r="E48" i="54"/>
  <c r="C48" i="54"/>
  <c r="I47" i="54"/>
  <c r="G47" i="54"/>
  <c r="E47" i="54"/>
  <c r="C47" i="54"/>
  <c r="I46" i="54"/>
  <c r="G46" i="54"/>
  <c r="E46" i="54"/>
  <c r="C46" i="54"/>
  <c r="I45" i="54"/>
  <c r="G45" i="54"/>
  <c r="E45" i="54"/>
  <c r="C45" i="54"/>
  <c r="I44" i="54"/>
  <c r="G44" i="54"/>
  <c r="E44" i="54"/>
  <c r="C44" i="54"/>
  <c r="I43" i="54"/>
  <c r="G43" i="54"/>
  <c r="E43" i="54"/>
  <c r="C43" i="54"/>
  <c r="I42" i="54"/>
  <c r="G42" i="54"/>
  <c r="E42" i="54"/>
  <c r="C42" i="54"/>
  <c r="I41" i="54"/>
  <c r="G41" i="54"/>
  <c r="E41" i="54"/>
  <c r="C41" i="54"/>
  <c r="I40" i="54"/>
  <c r="G40" i="54"/>
  <c r="E40" i="54"/>
  <c r="C40" i="54"/>
  <c r="I39" i="54"/>
  <c r="G39" i="54"/>
  <c r="E39" i="54"/>
  <c r="C39" i="54"/>
  <c r="I38" i="54"/>
  <c r="G38" i="54"/>
  <c r="E38" i="54"/>
  <c r="C38" i="54"/>
  <c r="I37" i="54"/>
  <c r="G37" i="54"/>
  <c r="E37" i="54"/>
  <c r="C37" i="54"/>
  <c r="I36" i="54"/>
  <c r="G36" i="54"/>
  <c r="E36" i="54"/>
  <c r="C36" i="54"/>
  <c r="I35" i="54"/>
  <c r="G35" i="54"/>
  <c r="E35" i="54"/>
  <c r="C35" i="54"/>
  <c r="I34" i="54"/>
  <c r="G34" i="54"/>
  <c r="E34" i="54"/>
  <c r="C34" i="54"/>
  <c r="D42" i="42" l="1"/>
  <c r="C42" i="42" s="1"/>
  <c r="D41" i="42"/>
  <c r="C41" i="42" s="1"/>
  <c r="D40" i="42"/>
  <c r="C40" i="42" s="1"/>
  <c r="D6" i="42"/>
  <c r="D5" i="42"/>
  <c r="D4" i="42"/>
  <c r="E71" i="42"/>
  <c r="C71" i="42"/>
  <c r="E70" i="42"/>
  <c r="C70" i="42"/>
  <c r="E69" i="42"/>
  <c r="C69" i="42"/>
  <c r="E68" i="42"/>
  <c r="C68" i="42"/>
  <c r="E67" i="42"/>
  <c r="C67" i="42"/>
  <c r="E66" i="42"/>
  <c r="C66" i="42"/>
  <c r="E65" i="42"/>
  <c r="C65" i="42"/>
  <c r="F64" i="42"/>
  <c r="E64" i="42" s="1"/>
  <c r="D64" i="42"/>
  <c r="C64" i="42" s="1"/>
  <c r="F63" i="42"/>
  <c r="E63" i="42" s="1"/>
  <c r="D63" i="42"/>
  <c r="C63" i="42" s="1"/>
  <c r="F62" i="42"/>
  <c r="E62" i="42" s="1"/>
  <c r="D62" i="42"/>
  <c r="C62" i="42" s="1"/>
  <c r="F61" i="42"/>
  <c r="E61" i="42" s="1"/>
  <c r="D61" i="42"/>
  <c r="C61" i="42" s="1"/>
  <c r="F60" i="42"/>
  <c r="E60" i="42" s="1"/>
  <c r="D60" i="42"/>
  <c r="C60" i="42" s="1"/>
  <c r="F59" i="42"/>
  <c r="E59" i="42" s="1"/>
  <c r="D59" i="42"/>
  <c r="C59" i="42" s="1"/>
  <c r="F58" i="42"/>
  <c r="E58" i="42" s="1"/>
  <c r="D58" i="42"/>
  <c r="C58" i="42" s="1"/>
  <c r="E57" i="42"/>
  <c r="C57" i="42"/>
  <c r="E56" i="42"/>
  <c r="C56" i="42"/>
  <c r="E55" i="42"/>
  <c r="C55" i="42"/>
  <c r="E54" i="42"/>
  <c r="C54" i="42"/>
  <c r="E53" i="42"/>
  <c r="C53" i="42"/>
  <c r="E52" i="42"/>
  <c r="C52" i="42"/>
  <c r="E51" i="42"/>
  <c r="C51" i="42"/>
  <c r="E50" i="42"/>
  <c r="C50" i="42"/>
  <c r="E49" i="42"/>
  <c r="C49" i="42"/>
  <c r="E48" i="42"/>
  <c r="C48" i="42"/>
  <c r="E47" i="42"/>
  <c r="C47" i="42"/>
  <c r="E46" i="42"/>
  <c r="C46" i="42"/>
  <c r="E45" i="42"/>
  <c r="C45" i="42"/>
  <c r="E44" i="42"/>
  <c r="C44" i="42"/>
  <c r="E43" i="42"/>
  <c r="C43" i="42"/>
  <c r="F35" i="42"/>
  <c r="D35" i="42"/>
  <c r="F34" i="42"/>
  <c r="D34" i="42"/>
  <c r="F33" i="42"/>
  <c r="D33" i="42"/>
  <c r="F32" i="42"/>
  <c r="D32" i="42"/>
  <c r="F31" i="42"/>
  <c r="D31" i="42"/>
  <c r="F30" i="42"/>
  <c r="D30" i="42"/>
  <c r="F29" i="42"/>
  <c r="D29" i="42"/>
  <c r="E28" i="42"/>
  <c r="F28" i="42" s="1"/>
  <c r="C28" i="42"/>
  <c r="D28" i="42" s="1"/>
  <c r="E27" i="42"/>
  <c r="F27" i="42" s="1"/>
  <c r="C27" i="42"/>
  <c r="D27" i="42" s="1"/>
  <c r="E26" i="42"/>
  <c r="F26" i="42" s="1"/>
  <c r="C26" i="42"/>
  <c r="D26" i="42" s="1"/>
  <c r="E25" i="42"/>
  <c r="F25" i="42" s="1"/>
  <c r="C25" i="42"/>
  <c r="D25" i="42" s="1"/>
  <c r="E24" i="42"/>
  <c r="F24" i="42" s="1"/>
  <c r="C24" i="42"/>
  <c r="D24" i="42" s="1"/>
  <c r="E23" i="42"/>
  <c r="F23" i="42" s="1"/>
  <c r="C23" i="42"/>
  <c r="D23" i="42" s="1"/>
  <c r="E22" i="42"/>
  <c r="F22" i="42" s="1"/>
  <c r="C22" i="42"/>
  <c r="D22" i="42" s="1"/>
  <c r="F21" i="42"/>
  <c r="D21" i="42"/>
  <c r="F20" i="42"/>
  <c r="D20" i="42"/>
  <c r="F19" i="42"/>
  <c r="D19" i="42"/>
  <c r="F18" i="42"/>
  <c r="D18" i="42"/>
  <c r="F17" i="42"/>
  <c r="D17" i="42"/>
  <c r="F16" i="42"/>
  <c r="D16" i="42"/>
  <c r="F15" i="42"/>
  <c r="D15" i="42"/>
  <c r="F14" i="42"/>
  <c r="D14" i="42"/>
  <c r="F13" i="42"/>
  <c r="D13" i="42"/>
  <c r="F12" i="42"/>
  <c r="D12" i="42"/>
  <c r="F11" i="42"/>
  <c r="D11" i="42"/>
  <c r="F10" i="42"/>
  <c r="D10" i="42"/>
  <c r="F9" i="42"/>
  <c r="D9" i="42"/>
  <c r="F8" i="42"/>
  <c r="D8" i="42"/>
  <c r="F7" i="42"/>
  <c r="D7" i="42"/>
  <c r="D3" i="42"/>
  <c r="D39" i="42" s="1"/>
  <c r="C39" i="42" s="1"/>
  <c r="H39" i="35"/>
  <c r="G39" i="35" s="1"/>
  <c r="F39" i="35"/>
  <c r="E39" i="35" s="1"/>
  <c r="D39" i="35"/>
  <c r="C39" i="35" s="1"/>
  <c r="F38" i="35"/>
  <c r="E38" i="35" s="1"/>
  <c r="D38" i="35"/>
  <c r="C38" i="35" s="1"/>
  <c r="G37" i="35"/>
  <c r="F37" i="35"/>
  <c r="E37" i="35"/>
  <c r="D37" i="35"/>
  <c r="C37" i="35"/>
  <c r="G36" i="35"/>
  <c r="F36" i="35"/>
  <c r="E36" i="35" s="1"/>
  <c r="D36" i="35"/>
  <c r="C36" i="35" s="1"/>
  <c r="G35" i="35"/>
  <c r="F35" i="35"/>
  <c r="E35" i="35"/>
  <c r="D35" i="35"/>
  <c r="C35" i="35"/>
  <c r="H34" i="35"/>
  <c r="G34" i="35"/>
  <c r="F34" i="35"/>
  <c r="E34" i="35" s="1"/>
  <c r="G33" i="35"/>
  <c r="F33" i="35"/>
  <c r="E33" i="35" s="1"/>
  <c r="D33" i="35"/>
  <c r="C33" i="35" s="1"/>
  <c r="G32" i="35"/>
  <c r="E32" i="35"/>
  <c r="C32" i="35"/>
  <c r="G31" i="35"/>
  <c r="E31" i="35"/>
  <c r="C31" i="35"/>
  <c r="G30" i="35"/>
  <c r="E30" i="35"/>
  <c r="C30" i="35"/>
  <c r="G29" i="35"/>
  <c r="E29" i="35"/>
  <c r="C29" i="35"/>
  <c r="G28" i="35"/>
  <c r="E28" i="35"/>
  <c r="C28" i="35"/>
  <c r="G27" i="35"/>
  <c r="E27" i="35"/>
  <c r="C27" i="35"/>
  <c r="G26" i="35"/>
  <c r="E26" i="35"/>
  <c r="C26" i="35"/>
  <c r="G25" i="35"/>
  <c r="E25" i="35"/>
  <c r="C25" i="35"/>
  <c r="G24" i="35"/>
  <c r="E24" i="35"/>
  <c r="I23" i="35"/>
  <c r="G23" i="35"/>
  <c r="G19" i="35"/>
  <c r="H19" i="35" s="1"/>
  <c r="E19" i="35"/>
  <c r="F19" i="35" s="1"/>
  <c r="C19" i="35"/>
  <c r="D19" i="35" s="1"/>
  <c r="F18" i="35"/>
  <c r="C18" i="35"/>
  <c r="D18" i="35" s="1"/>
  <c r="H17" i="35"/>
  <c r="E17" i="35"/>
  <c r="F17" i="35" s="1"/>
  <c r="H16" i="35"/>
  <c r="E16" i="35"/>
  <c r="F16" i="35" s="1"/>
  <c r="C16" i="35"/>
  <c r="D16" i="35" s="1"/>
  <c r="H15" i="35"/>
  <c r="E15" i="35"/>
  <c r="F15" i="35" s="1"/>
  <c r="H14" i="35"/>
  <c r="E14" i="35"/>
  <c r="F14" i="35" s="1"/>
  <c r="H13" i="35"/>
  <c r="E13" i="35"/>
  <c r="F13" i="35" s="1"/>
  <c r="H12" i="35"/>
  <c r="F12" i="35"/>
  <c r="D12" i="35"/>
  <c r="H11" i="35"/>
  <c r="F11" i="35"/>
  <c r="D11" i="35"/>
  <c r="H10" i="35"/>
  <c r="F10" i="35"/>
  <c r="D10" i="35"/>
  <c r="H9" i="35"/>
  <c r="F9" i="35"/>
  <c r="D9" i="35"/>
  <c r="H8" i="35"/>
  <c r="F8" i="35"/>
  <c r="D8" i="35"/>
  <c r="H7" i="35"/>
  <c r="F7" i="35"/>
  <c r="D7" i="35"/>
  <c r="H6" i="35"/>
  <c r="F6" i="35"/>
  <c r="D6" i="35"/>
  <c r="H5" i="35"/>
  <c r="F5" i="35"/>
  <c r="D5" i="35"/>
  <c r="H4" i="35"/>
  <c r="F4" i="35"/>
  <c r="J3" i="35"/>
  <c r="H3" i="35"/>
  <c r="I61" i="36"/>
  <c r="G61" i="36"/>
  <c r="E61" i="36"/>
  <c r="C61" i="36"/>
  <c r="I60" i="36"/>
  <c r="G60" i="36"/>
  <c r="E60" i="36"/>
  <c r="C60" i="36"/>
  <c r="I59" i="36"/>
  <c r="G59" i="36"/>
  <c r="E59" i="36"/>
  <c r="C59" i="36"/>
  <c r="I58" i="36"/>
  <c r="G58" i="36"/>
  <c r="E58" i="36"/>
  <c r="C58" i="36"/>
  <c r="I57" i="36"/>
  <c r="G57" i="36"/>
  <c r="E57" i="36"/>
  <c r="C57" i="36"/>
  <c r="I56" i="36"/>
  <c r="G56" i="36"/>
  <c r="E56" i="36"/>
  <c r="C56" i="36"/>
  <c r="I55" i="36"/>
  <c r="G55" i="36"/>
  <c r="E55" i="36"/>
  <c r="C55" i="36"/>
  <c r="I54" i="36"/>
  <c r="G54" i="36"/>
  <c r="E54" i="36"/>
  <c r="C54" i="36"/>
  <c r="I53" i="36"/>
  <c r="G53" i="36"/>
  <c r="E53" i="36"/>
  <c r="C53" i="36"/>
  <c r="I52" i="36"/>
  <c r="G52" i="36"/>
  <c r="E52" i="36"/>
  <c r="C52" i="36"/>
  <c r="I51" i="36"/>
  <c r="G51" i="36"/>
  <c r="E51" i="36"/>
  <c r="C51" i="36"/>
  <c r="I50" i="36"/>
  <c r="G50" i="36"/>
  <c r="E50" i="36"/>
  <c r="C50" i="36"/>
  <c r="I49" i="36"/>
  <c r="G49" i="36"/>
  <c r="E49" i="36"/>
  <c r="C49" i="36"/>
  <c r="I48" i="36"/>
  <c r="G48" i="36"/>
  <c r="E48" i="36"/>
  <c r="C48" i="36"/>
  <c r="I47" i="36"/>
  <c r="G47" i="36"/>
  <c r="E47" i="36"/>
  <c r="C47" i="36"/>
  <c r="I46" i="36"/>
  <c r="G46" i="36"/>
  <c r="E46" i="36"/>
  <c r="C46" i="36"/>
  <c r="I45" i="36"/>
  <c r="G45" i="36"/>
  <c r="E45" i="36"/>
  <c r="C45" i="36"/>
  <c r="I44" i="36"/>
  <c r="G44" i="36"/>
  <c r="E44" i="36"/>
  <c r="C44" i="36"/>
  <c r="I43" i="36"/>
  <c r="G43" i="36"/>
  <c r="E43" i="36"/>
  <c r="C43" i="36"/>
  <c r="I42" i="36"/>
  <c r="G42" i="36"/>
  <c r="E42" i="36"/>
  <c r="C42" i="36"/>
  <c r="I41" i="36"/>
  <c r="G41" i="36"/>
  <c r="E41" i="36"/>
  <c r="C41" i="36"/>
  <c r="I40" i="36"/>
  <c r="G40" i="36"/>
  <c r="E40" i="36"/>
  <c r="C40" i="36"/>
  <c r="I39" i="36"/>
  <c r="G39" i="36"/>
  <c r="E39" i="36"/>
  <c r="C39" i="36"/>
  <c r="I38" i="36"/>
  <c r="G38" i="36"/>
  <c r="E38" i="36"/>
  <c r="C38" i="36"/>
  <c r="I37" i="36"/>
  <c r="G37" i="36"/>
  <c r="E37" i="36"/>
  <c r="C37" i="36"/>
  <c r="I36" i="36"/>
  <c r="G36" i="36"/>
  <c r="E36" i="36"/>
  <c r="C36" i="36"/>
  <c r="I35" i="36"/>
  <c r="G35" i="36"/>
  <c r="E35" i="36"/>
  <c r="C35" i="36"/>
  <c r="I34" i="36"/>
  <c r="G34" i="36"/>
  <c r="E34" i="36"/>
  <c r="C34" i="36"/>
  <c r="J30" i="36"/>
  <c r="H30" i="36"/>
  <c r="F30" i="36"/>
  <c r="D30" i="36"/>
  <c r="J29" i="36"/>
  <c r="H29" i="36"/>
  <c r="F29" i="36"/>
  <c r="D29" i="36"/>
  <c r="J28" i="36"/>
  <c r="H28" i="36"/>
  <c r="F28" i="36"/>
  <c r="D28" i="36"/>
  <c r="J27" i="36"/>
  <c r="H27" i="36"/>
  <c r="F27" i="36"/>
  <c r="D27" i="36"/>
  <c r="J26" i="36"/>
  <c r="H26" i="36"/>
  <c r="F26" i="36"/>
  <c r="D26" i="36"/>
  <c r="J25" i="36"/>
  <c r="H25" i="36"/>
  <c r="F25" i="36"/>
  <c r="D25" i="36"/>
  <c r="J24" i="36"/>
  <c r="H24" i="36"/>
  <c r="F24" i="36"/>
  <c r="D24" i="36"/>
  <c r="J23" i="36"/>
  <c r="H23" i="36"/>
  <c r="F23" i="36"/>
  <c r="D23" i="36"/>
  <c r="J22" i="36"/>
  <c r="H22" i="36"/>
  <c r="F22" i="36"/>
  <c r="D22" i="36"/>
  <c r="J21" i="36"/>
  <c r="H21" i="36"/>
  <c r="F21" i="36"/>
  <c r="D21" i="36"/>
  <c r="J20" i="36"/>
  <c r="H20" i="36"/>
  <c r="F20" i="36"/>
  <c r="D20" i="36"/>
  <c r="J19" i="36"/>
  <c r="H19" i="36"/>
  <c r="F19" i="36"/>
  <c r="D19" i="36"/>
  <c r="J18" i="36"/>
  <c r="H18" i="36"/>
  <c r="F18" i="36"/>
  <c r="D18" i="36"/>
  <c r="J17" i="36"/>
  <c r="H17" i="36"/>
  <c r="F17" i="36"/>
  <c r="D17" i="36"/>
  <c r="J16" i="36"/>
  <c r="H16" i="36"/>
  <c r="F16" i="36"/>
  <c r="D16" i="36"/>
  <c r="J15" i="36"/>
  <c r="H15" i="36"/>
  <c r="F15" i="36"/>
  <c r="D15" i="36"/>
  <c r="J14" i="36"/>
  <c r="H14" i="36"/>
  <c r="F14" i="36"/>
  <c r="D14" i="36"/>
  <c r="J13" i="36"/>
  <c r="H13" i="36"/>
  <c r="F13" i="36"/>
  <c r="D13" i="36"/>
  <c r="J12" i="36"/>
  <c r="H12" i="36"/>
  <c r="F12" i="36"/>
  <c r="D12" i="36"/>
  <c r="J11" i="36"/>
  <c r="H11" i="36"/>
  <c r="F11" i="36"/>
  <c r="D11" i="36"/>
  <c r="J10" i="36"/>
  <c r="H10" i="36"/>
  <c r="F10" i="36"/>
  <c r="D10" i="36"/>
  <c r="J9" i="36"/>
  <c r="H9" i="36"/>
  <c r="F9" i="36"/>
  <c r="D9" i="36"/>
  <c r="J8" i="36"/>
  <c r="H8" i="36"/>
  <c r="F8" i="36"/>
  <c r="D8" i="36"/>
  <c r="J7" i="36"/>
  <c r="H7" i="36"/>
  <c r="F7" i="36"/>
  <c r="D7" i="36"/>
  <c r="J6" i="36"/>
  <c r="H6" i="36"/>
  <c r="F6" i="36"/>
  <c r="D6" i="36"/>
  <c r="J5" i="36"/>
  <c r="H5" i="36"/>
  <c r="F5" i="36"/>
  <c r="D5" i="36"/>
  <c r="J4" i="36"/>
  <c r="H4" i="36"/>
  <c r="F4" i="36"/>
  <c r="D4" i="36"/>
  <c r="J3" i="36"/>
  <c r="H3" i="36"/>
  <c r="F3" i="36"/>
  <c r="D3" i="36"/>
  <c r="C13" i="35" l="1"/>
  <c r="D13" i="35" s="1"/>
  <c r="C15" i="35"/>
  <c r="D15" i="35" s="1"/>
  <c r="C17" i="35"/>
  <c r="D17" i="35" s="1"/>
</calcChain>
</file>

<file path=xl/sharedStrings.xml><?xml version="1.0" encoding="utf-8"?>
<sst xmlns="http://schemas.openxmlformats.org/spreadsheetml/2006/main" count="1157" uniqueCount="140">
  <si>
    <t>Адрес</t>
  </si>
  <si>
    <t>Площадь (кв.м.)</t>
  </si>
  <si>
    <t>Земельный участок (кв.м.)</t>
  </si>
  <si>
    <t>Ремонт</t>
  </si>
  <si>
    <r>
      <rPr>
        <sz val="12"/>
        <color rgb="FF000000"/>
        <rFont val="Calibri"/>
        <family val="2"/>
        <charset val="204"/>
        <scheme val="minor"/>
      </rPr>
      <t>Платиновый проезд</t>
    </r>
    <r>
      <rPr>
        <sz val="12"/>
        <color rgb="FF1F497D"/>
        <rFont val="Calibri"/>
        <family val="2"/>
        <charset val="204"/>
        <scheme val="minor"/>
      </rPr>
      <t xml:space="preserve"> </t>
    </r>
    <r>
      <rPr>
        <sz val="12"/>
        <color rgb="FF000000"/>
        <rFont val="Calibri"/>
        <family val="2"/>
        <charset val="204"/>
        <scheme val="minor"/>
      </rPr>
      <t xml:space="preserve">25,26,27,28,29; Рубиновый Проезд 30,31,32,39,40,41 </t>
    </r>
  </si>
  <si>
    <t>74,2 кв.м.</t>
  </si>
  <si>
    <t>200 – 250 кв.м.</t>
  </si>
  <si>
    <t>Отложенный ремонт</t>
  </si>
  <si>
    <t xml:space="preserve">Рубиновый Проезд 30,31,39,40,41 </t>
  </si>
  <si>
    <t>136 кв.м.</t>
  </si>
  <si>
    <t>200 – 300 кв.м.</t>
  </si>
  <si>
    <t>301 – 500 кв.м.</t>
  </si>
  <si>
    <t xml:space="preserve">Платиновый проезд 25,26,27,28,29; </t>
  </si>
  <si>
    <t>Без ремонта</t>
  </si>
  <si>
    <t xml:space="preserve">Платиновый проезд 25,26,27, 28,29; </t>
  </si>
  <si>
    <t>Рубиновый Проезд 32</t>
  </si>
  <si>
    <t>Рубиновый Проезд 39, таун 7</t>
  </si>
  <si>
    <t>ДИЗАЙН</t>
  </si>
  <si>
    <t>Рубиновый Проезд 39, таун 8</t>
  </si>
  <si>
    <t>Рубиновый Проезд 39, таун 9</t>
  </si>
  <si>
    <r>
      <rPr>
        <b/>
        <sz val="11"/>
        <color theme="1"/>
        <rFont val="Calibri"/>
        <family val="2"/>
        <charset val="204"/>
        <scheme val="minor"/>
      </rPr>
      <t>Скидка за Наличные и по Базовой ипотеки -</t>
    </r>
    <r>
      <rPr>
        <b/>
        <sz val="11"/>
        <color rgb="FFFF0000"/>
        <rFont val="Calibri"/>
        <family val="2"/>
        <charset val="204"/>
        <scheme val="minor"/>
      </rPr>
      <t xml:space="preserve"> 5%</t>
    </r>
  </si>
  <si>
    <t>Объект</t>
  </si>
  <si>
    <t>Пл. кв.м.</t>
  </si>
  <si>
    <t>Цена кв.м. 2 этаж</t>
  </si>
  <si>
    <t>Стоимость руб.</t>
  </si>
  <si>
    <t>Цена кв.м. 3-6 этаж</t>
  </si>
  <si>
    <t>Цена кв.м. 7-17 этаж</t>
  </si>
  <si>
    <t>Цена кв.м. 18 этаж</t>
  </si>
  <si>
    <t>Ремонт в том числе</t>
  </si>
  <si>
    <t>ул. Новочеркасская, 49 (дом 14) 1 секция 1к</t>
  </si>
  <si>
    <t>Готовый ремонт</t>
  </si>
  <si>
    <t>ул. Новочеркасская, 49 (дом 14) 2 секция студия</t>
  </si>
  <si>
    <t>ул. Новочеркасская, 49 (дом 14) 2 секция 1к</t>
  </si>
  <si>
    <t>ул. Новочеркасская, 49 (дом 14) 2 секция2к</t>
  </si>
  <si>
    <t>ул. Новочеркасская, 49 (дом 14) 2 секция 2к</t>
  </si>
  <si>
    <t>ул. Новочеркасская, 49 (дом 14) 3 секция студия</t>
  </si>
  <si>
    <t>ул. Новочеркасская, 49 (дом 14) 3 секция 1к</t>
  </si>
  <si>
    <t>ул. Новочеркасская, 49 (дом 14) 3 секция2к</t>
  </si>
  <si>
    <t>ул. Новочеркасская, 49 (дом 14) 3 секция 2к</t>
  </si>
  <si>
    <t>ул. Новочеркасская, 48 (дом 15) 4 секция студия</t>
  </si>
  <si>
    <t>Дорогой ремонт + кухня</t>
  </si>
  <si>
    <t>ул. Новочеркасская, 48 (дом 15) 4 секция 1к</t>
  </si>
  <si>
    <t>ул. Новочеркасская, 48 (дом 15) 4 секция 2к</t>
  </si>
  <si>
    <t>ул. Новочеркасская, 48 (дом 15) 3 секция студия</t>
  </si>
  <si>
    <t>ул. Новочеркасская, 48 (дом 15) 3 секция 1к</t>
  </si>
  <si>
    <t>ул. Новочеркасская, 48 (дом 15) 3 секция 2к</t>
  </si>
  <si>
    <t>ул. Новочеркасская, 48 (дом 15) 2 секция студия</t>
  </si>
  <si>
    <t>ул. Новочеркасская, 48 (дом 15) 2 секция 1к</t>
  </si>
  <si>
    <t>Стандартный ремонт + кухня</t>
  </si>
  <si>
    <t>ул. Новочеркасская, 48 (дом 15) 2 секция 2к</t>
  </si>
  <si>
    <t>ул. Новочеркасская, 48 (дом 15) 1 секция студия</t>
  </si>
  <si>
    <t>ул. Новочеркасская, 48 (дом 15) 1 секция 1к</t>
  </si>
  <si>
    <t>ул. Новочеркасская, 48 (дом 15) 1 секция 2к</t>
  </si>
  <si>
    <t>ул. Новочеркасская, 53 (дом 19) 1,2 секция 1к</t>
  </si>
  <si>
    <t>Площадь кв.м.</t>
  </si>
  <si>
    <t>Цена кв.м.  (высокий)             7-15 этаж</t>
  </si>
  <si>
    <t>Цена кв.м. 16 этаж</t>
  </si>
  <si>
    <t>ул. Левитана, д.2, 2к, 6 секция</t>
  </si>
  <si>
    <t>Готовый</t>
  </si>
  <si>
    <t>ул. Левитана, д.6, студия , 1 секция</t>
  </si>
  <si>
    <t>Отложенный</t>
  </si>
  <si>
    <t>ул. Левитана, д.6, 1к, 1 секция</t>
  </si>
  <si>
    <t>ул. Левитана, д.6, 2к, 1 секция</t>
  </si>
  <si>
    <t>ул. Левитана, д.6, 3к, 1 секция</t>
  </si>
  <si>
    <t>ул. Левитана, д.6, 1к, 2 секция</t>
  </si>
  <si>
    <t>ул. Левитана, д.6, 2к, 2 секция</t>
  </si>
  <si>
    <t>ул. Левитана, д.6, 3к, 2 секция</t>
  </si>
  <si>
    <t>ул. Левитана, д.6, студия, 3 секция</t>
  </si>
  <si>
    <t>ул. Левитана, д.6, 1к, 3 секция</t>
  </si>
  <si>
    <t>ул. Левитана, д.6, 2к, 3 секция</t>
  </si>
  <si>
    <t>ул. Левитана, д.6, 3к, 4 секция</t>
  </si>
  <si>
    <t>ул. Левитана, д.6, 3к, 5 секция</t>
  </si>
  <si>
    <t xml:space="preserve">Площадь </t>
  </si>
  <si>
    <t>Цена за кв.м. 1, 4 этаж</t>
  </si>
  <si>
    <t>Стоимость, руб.</t>
  </si>
  <si>
    <t>Цена за кв.м. 2, 3 этаж</t>
  </si>
  <si>
    <t xml:space="preserve">Ремонт в том числе </t>
  </si>
  <si>
    <t>7 МД Студия</t>
  </si>
  <si>
    <t>22 МД 1к</t>
  </si>
  <si>
    <t>22 МД 2к</t>
  </si>
  <si>
    <t>23 МД Студия</t>
  </si>
  <si>
    <t xml:space="preserve">23 МД 1к </t>
  </si>
  <si>
    <t>23 МД 1к</t>
  </si>
  <si>
    <t>23 МД 2к</t>
  </si>
  <si>
    <t>24 МД Студия</t>
  </si>
  <si>
    <t xml:space="preserve">24 МД 1к </t>
  </si>
  <si>
    <t>24 МД 2к</t>
  </si>
  <si>
    <t>25 МД Студия</t>
  </si>
  <si>
    <t xml:space="preserve">25 МД 1к </t>
  </si>
  <si>
    <t>25 МД 2к</t>
  </si>
  <si>
    <t>7 МД 2к</t>
  </si>
  <si>
    <t>12 МД 1к</t>
  </si>
  <si>
    <t>минус 200 000</t>
  </si>
  <si>
    <t>минус 300 000</t>
  </si>
  <si>
    <t>минус 400 000</t>
  </si>
  <si>
    <t>Снижение</t>
  </si>
  <si>
    <r>
      <t xml:space="preserve">Базовый Прейскурант - сделки по семейной ипотеки, руб. </t>
    </r>
    <r>
      <rPr>
        <b/>
        <sz val="11"/>
        <color rgb="FFFF0000"/>
        <rFont val="Calibri"/>
        <family val="2"/>
        <charset val="204"/>
        <scheme val="minor"/>
      </rPr>
      <t>до 31.03.2025</t>
    </r>
  </si>
  <si>
    <t>Минус 400 000</t>
  </si>
  <si>
    <t>Минус 200 000</t>
  </si>
  <si>
    <t>Минус 300 000</t>
  </si>
  <si>
    <t>Тело кредита</t>
  </si>
  <si>
    <t>Для Сбербанка</t>
  </si>
  <si>
    <t>Для ДОМ.РФ</t>
  </si>
  <si>
    <r>
      <t>Ценообразование</t>
    </r>
    <r>
      <rPr>
        <b/>
        <sz val="14"/>
        <color rgb="FF00B050"/>
        <rFont val="Calibri"/>
        <family val="2"/>
        <charset val="204"/>
        <scheme val="minor"/>
      </rPr>
      <t xml:space="preserve"> с 18.02.2025г.,</t>
    </r>
    <r>
      <rPr>
        <b/>
        <sz val="14"/>
        <rFont val="Calibri"/>
        <family val="2"/>
        <charset val="204"/>
        <scheme val="minor"/>
      </rPr>
      <t xml:space="preserve"> оплата для АН 2,5%, </t>
    </r>
    <r>
      <rPr>
        <b/>
        <sz val="14"/>
        <color rgb="FFFF0000"/>
        <rFont val="Calibri"/>
        <family val="2"/>
        <charset val="204"/>
        <scheme val="minor"/>
      </rPr>
      <t>Базовый Прейскурант для Семейной ипотеки без субсидирования</t>
    </r>
  </si>
  <si>
    <r>
      <t>Ценообразование</t>
    </r>
    <r>
      <rPr>
        <b/>
        <sz val="14"/>
        <color rgb="FF00B050"/>
        <rFont val="Calibri"/>
        <family val="2"/>
        <charset val="204"/>
        <scheme val="minor"/>
      </rPr>
      <t xml:space="preserve"> с 18.02.2025г.,</t>
    </r>
    <r>
      <rPr>
        <b/>
        <sz val="14"/>
        <rFont val="Calibri"/>
        <family val="2"/>
        <charset val="204"/>
        <scheme val="minor"/>
      </rPr>
      <t xml:space="preserve"> оплата для АН 2,5%, </t>
    </r>
    <r>
      <rPr>
        <b/>
        <sz val="14"/>
        <color rgb="FFFF0000"/>
        <rFont val="Calibri"/>
        <family val="2"/>
        <charset val="204"/>
        <scheme val="minor"/>
      </rPr>
      <t>Скидка за Наличные и сделки по Базовой ипотеки - 5%</t>
    </r>
  </si>
  <si>
    <r>
      <t>Ценообразование</t>
    </r>
    <r>
      <rPr>
        <b/>
        <sz val="14"/>
        <color rgb="FF00B050"/>
        <rFont val="Calibri"/>
        <family val="2"/>
        <charset val="204"/>
        <scheme val="minor"/>
      </rPr>
      <t xml:space="preserve"> с 18.02.2025г.,</t>
    </r>
    <r>
      <rPr>
        <b/>
        <sz val="14"/>
        <rFont val="Calibri"/>
        <family val="2"/>
        <charset val="204"/>
        <scheme val="minor"/>
      </rPr>
      <t xml:space="preserve"> оплата для АН 2,5%, </t>
    </r>
    <r>
      <rPr>
        <b/>
        <sz val="14"/>
        <color rgb="FFFF0000"/>
        <rFont val="Calibri"/>
        <family val="2"/>
        <charset val="204"/>
        <scheme val="minor"/>
      </rPr>
      <t>Семейная ипотека ДОМ.РФ с субсидированием - Удорожание на 7%</t>
    </r>
  </si>
  <si>
    <t>Удорожание 11%</t>
  </si>
  <si>
    <t>Получаем</t>
  </si>
  <si>
    <t>Плюс</t>
  </si>
  <si>
    <t>ПВ% 20,1%</t>
  </si>
  <si>
    <t>ПВ% 30,2%</t>
  </si>
  <si>
    <t>Комиссия 9,9%</t>
  </si>
  <si>
    <t>Комиссия 9,2%</t>
  </si>
  <si>
    <t>Комиссия 8,6%</t>
  </si>
  <si>
    <t>ПВ% 20,01%</t>
  </si>
  <si>
    <t>Удорожание 10%</t>
  </si>
  <si>
    <t>Альфа Банк</t>
  </si>
  <si>
    <t>ПВ% 30,1%</t>
  </si>
  <si>
    <t>Удорожание 13%</t>
  </si>
  <si>
    <t>ПВ% 50,2%</t>
  </si>
  <si>
    <t>Комиссия 8,5%</t>
  </si>
  <si>
    <t>База</t>
  </si>
  <si>
    <t>Комиссия 15,33%</t>
  </si>
  <si>
    <r>
      <t xml:space="preserve">Семейная Ипотека ДОМ.РФ с субсидированием </t>
    </r>
    <r>
      <rPr>
        <b/>
        <sz val="11"/>
        <color rgb="FFFF0000"/>
        <rFont val="Calibri"/>
        <family val="2"/>
        <charset val="204"/>
        <scheme val="minor"/>
      </rPr>
      <t>Удорожание 10%</t>
    </r>
  </si>
  <si>
    <r>
      <t xml:space="preserve">Семейная Ипотека </t>
    </r>
    <r>
      <rPr>
        <b/>
        <sz val="11"/>
        <color rgb="FF00B050"/>
        <rFont val="Calibri"/>
        <family val="2"/>
        <charset val="204"/>
        <scheme val="minor"/>
      </rPr>
      <t xml:space="preserve">СБЕРБАНК </t>
    </r>
    <r>
      <rPr>
        <b/>
        <sz val="11"/>
        <color theme="1"/>
        <rFont val="Calibri"/>
        <family val="2"/>
        <charset val="204"/>
        <scheme val="minor"/>
      </rPr>
      <t xml:space="preserve">с субсидированием </t>
    </r>
    <r>
      <rPr>
        <b/>
        <sz val="11"/>
        <color rgb="FFFF0000"/>
        <rFont val="Calibri"/>
        <family val="2"/>
        <charset val="204"/>
        <scheme val="minor"/>
      </rPr>
      <t>Удорожание 11%</t>
    </r>
  </si>
  <si>
    <r>
      <t xml:space="preserve">Ценообразование ЖК Кольцово </t>
    </r>
    <r>
      <rPr>
        <b/>
        <sz val="14"/>
        <color rgb="FF00B050"/>
        <rFont val="Calibri"/>
        <family val="2"/>
        <charset val="204"/>
        <scheme val="minor"/>
      </rPr>
      <t>с 20.02.2025г</t>
    </r>
    <r>
      <rPr>
        <b/>
        <sz val="14"/>
        <rFont val="Calibri"/>
        <family val="2"/>
        <charset val="204"/>
        <scheme val="minor"/>
      </rPr>
      <t>., вознаграждение АН 2,5%</t>
    </r>
  </si>
  <si>
    <r>
      <rPr>
        <b/>
        <sz val="14"/>
        <color rgb="FFFF0000"/>
        <rFont val="Calibri"/>
        <family val="2"/>
        <charset val="204"/>
        <scheme val="minor"/>
      </rPr>
      <t>АКЦИЯ ДО 31.03.2025г.</t>
    </r>
    <r>
      <rPr>
        <b/>
        <sz val="14"/>
        <rFont val="Calibri"/>
        <family val="2"/>
        <charset val="204"/>
        <scheme val="minor"/>
      </rPr>
      <t xml:space="preserve"> Ценообразование</t>
    </r>
    <r>
      <rPr>
        <b/>
        <sz val="14"/>
        <color rgb="FF00B050"/>
        <rFont val="Calibri"/>
        <family val="2"/>
        <charset val="204"/>
        <scheme val="minor"/>
      </rPr>
      <t xml:space="preserve"> с 20.02.2025г.</t>
    </r>
    <r>
      <rPr>
        <b/>
        <sz val="14"/>
        <rFont val="Calibri"/>
        <family val="2"/>
        <charset val="204"/>
        <scheme val="minor"/>
      </rPr>
      <t>, оплата для АН 2,5%,</t>
    </r>
    <r>
      <rPr>
        <b/>
        <sz val="14"/>
        <color rgb="FFFF0000"/>
        <rFont val="Calibri"/>
        <family val="2"/>
        <charset val="204"/>
        <scheme val="minor"/>
      </rPr>
      <t xml:space="preserve"> Базовый Прейскурант для Семейной ипотеки без субсидирования</t>
    </r>
  </si>
  <si>
    <r>
      <rPr>
        <b/>
        <sz val="14"/>
        <color rgb="FFFF0000"/>
        <rFont val="Calibri"/>
        <family val="2"/>
        <charset val="204"/>
        <scheme val="minor"/>
      </rPr>
      <t xml:space="preserve">АКЦИЯ ДО 31.03.2025г. </t>
    </r>
    <r>
      <rPr>
        <b/>
        <sz val="14"/>
        <rFont val="Calibri"/>
        <family val="2"/>
        <charset val="204"/>
        <scheme val="minor"/>
      </rPr>
      <t>Ценообразование</t>
    </r>
    <r>
      <rPr>
        <b/>
        <sz val="14"/>
        <color rgb="FF00B050"/>
        <rFont val="Calibri"/>
        <family val="2"/>
        <charset val="204"/>
        <scheme val="minor"/>
      </rPr>
      <t xml:space="preserve"> с 20.02.2025г.</t>
    </r>
    <r>
      <rPr>
        <b/>
        <sz val="14"/>
        <rFont val="Calibri"/>
        <family val="2"/>
        <charset val="204"/>
        <scheme val="minor"/>
      </rPr>
      <t>, Скидка за Наличные и сделки по Базовой ипотеки -</t>
    </r>
    <r>
      <rPr>
        <b/>
        <sz val="14"/>
        <color rgb="FFFF0000"/>
        <rFont val="Calibri"/>
        <family val="2"/>
        <charset val="204"/>
        <scheme val="minor"/>
      </rPr>
      <t xml:space="preserve"> 5%</t>
    </r>
  </si>
  <si>
    <r>
      <rPr>
        <b/>
        <sz val="14"/>
        <color rgb="FFFF0000"/>
        <rFont val="Calibri"/>
        <family val="2"/>
        <charset val="204"/>
        <scheme val="minor"/>
      </rPr>
      <t>АКЦИЯ ДО 31.03.2025г.</t>
    </r>
    <r>
      <rPr>
        <b/>
        <sz val="14"/>
        <rFont val="Calibri"/>
        <family val="2"/>
        <charset val="204"/>
        <scheme val="minor"/>
      </rPr>
      <t xml:space="preserve"> Ценообразование</t>
    </r>
    <r>
      <rPr>
        <b/>
        <sz val="14"/>
        <color rgb="FF00B050"/>
        <rFont val="Calibri"/>
        <family val="2"/>
        <charset val="204"/>
        <scheme val="minor"/>
      </rPr>
      <t xml:space="preserve"> с 20.02.2025г.</t>
    </r>
    <r>
      <rPr>
        <b/>
        <sz val="14"/>
        <rFont val="Calibri"/>
        <family val="2"/>
        <charset val="204"/>
        <scheme val="minor"/>
      </rPr>
      <t>, оплата для АН 2,5%,</t>
    </r>
    <r>
      <rPr>
        <b/>
        <sz val="14"/>
        <color rgb="FFFF0000"/>
        <rFont val="Calibri"/>
        <family val="2"/>
        <charset val="204"/>
        <scheme val="minor"/>
      </rPr>
      <t xml:space="preserve"> Семейная ипотека ДОМ.РФ с субсидированием - Удорожание на 10%</t>
    </r>
  </si>
  <si>
    <r>
      <rPr>
        <b/>
        <sz val="14"/>
        <color rgb="FFFF0000"/>
        <rFont val="Calibri"/>
        <family val="2"/>
        <charset val="204"/>
        <scheme val="minor"/>
      </rPr>
      <t>АКЦИЯ ДО 31.03.2025г.</t>
    </r>
    <r>
      <rPr>
        <b/>
        <sz val="14"/>
        <rFont val="Calibri"/>
        <family val="2"/>
        <charset val="204"/>
        <scheme val="minor"/>
      </rPr>
      <t xml:space="preserve"> Ценообразование</t>
    </r>
    <r>
      <rPr>
        <b/>
        <sz val="14"/>
        <color rgb="FF00B050"/>
        <rFont val="Calibri"/>
        <family val="2"/>
        <charset val="204"/>
        <scheme val="minor"/>
      </rPr>
      <t xml:space="preserve"> с 20.02.2025г.</t>
    </r>
    <r>
      <rPr>
        <b/>
        <sz val="14"/>
        <rFont val="Calibri"/>
        <family val="2"/>
        <charset val="204"/>
        <scheme val="minor"/>
      </rPr>
      <t>, оплата для АН 2,5%,</t>
    </r>
    <r>
      <rPr>
        <b/>
        <sz val="14"/>
        <color rgb="FFFF0000"/>
        <rFont val="Calibri"/>
        <family val="2"/>
        <charset val="204"/>
        <scheme val="minor"/>
      </rPr>
      <t xml:space="preserve"> Базовый Прейскурант для Семейной ПАО Сбербанк , Удорожание - 11%</t>
    </r>
  </si>
  <si>
    <r>
      <t>Ценообразование</t>
    </r>
    <r>
      <rPr>
        <b/>
        <sz val="14"/>
        <color rgb="FF00B050"/>
        <rFont val="Calibri"/>
        <family val="2"/>
        <charset val="204"/>
        <scheme val="minor"/>
      </rPr>
      <t xml:space="preserve"> с 20.02.2025г.</t>
    </r>
    <r>
      <rPr>
        <b/>
        <sz val="14"/>
        <rFont val="Calibri"/>
        <family val="2"/>
        <charset val="204"/>
        <scheme val="minor"/>
      </rPr>
      <t>, оплата для АН 2,5%,</t>
    </r>
    <r>
      <rPr>
        <b/>
        <sz val="14"/>
        <color rgb="FFFF0000"/>
        <rFont val="Calibri"/>
        <family val="2"/>
        <charset val="204"/>
        <scheme val="minor"/>
      </rPr>
      <t xml:space="preserve"> Базовый Прейскурант для Семейной ипотеки без субсидирования</t>
    </r>
  </si>
  <si>
    <r>
      <t>Ценообразование</t>
    </r>
    <r>
      <rPr>
        <b/>
        <sz val="14"/>
        <color rgb="FF00B050"/>
        <rFont val="Calibri"/>
        <family val="2"/>
        <charset val="204"/>
        <scheme val="minor"/>
      </rPr>
      <t xml:space="preserve"> с 20.02.2025г.</t>
    </r>
    <r>
      <rPr>
        <b/>
        <sz val="14"/>
        <rFont val="Calibri"/>
        <family val="2"/>
        <charset val="204"/>
        <scheme val="minor"/>
      </rPr>
      <t>, Скидка за Наличные и сделки по Базовой ипотеки -</t>
    </r>
    <r>
      <rPr>
        <b/>
        <sz val="14"/>
        <color rgb="FFFF0000"/>
        <rFont val="Calibri"/>
        <family val="2"/>
        <charset val="204"/>
        <scheme val="minor"/>
      </rPr>
      <t xml:space="preserve"> 5%</t>
    </r>
  </si>
  <si>
    <r>
      <t>Ценообразование</t>
    </r>
    <r>
      <rPr>
        <b/>
        <sz val="14"/>
        <color rgb="FF00B050"/>
        <rFont val="Calibri"/>
        <family val="2"/>
        <charset val="204"/>
        <scheme val="minor"/>
      </rPr>
      <t xml:space="preserve"> с 20.02.2025г.,</t>
    </r>
    <r>
      <rPr>
        <b/>
        <sz val="14"/>
        <rFont val="Calibri"/>
        <family val="2"/>
        <charset val="204"/>
        <scheme val="minor"/>
      </rPr>
      <t xml:space="preserve"> оплата для АН 2,5%, </t>
    </r>
    <r>
      <rPr>
        <b/>
        <sz val="14"/>
        <color rgb="FFFF0000"/>
        <rFont val="Calibri"/>
        <family val="2"/>
        <charset val="204"/>
        <scheme val="minor"/>
      </rPr>
      <t>Базовый Прейскурант для Семейной ипотеки без субсидирования</t>
    </r>
  </si>
  <si>
    <r>
      <t>Ценообразование</t>
    </r>
    <r>
      <rPr>
        <b/>
        <sz val="14"/>
        <color rgb="FF00B050"/>
        <rFont val="Calibri"/>
        <family val="2"/>
        <charset val="204"/>
        <scheme val="minor"/>
      </rPr>
      <t xml:space="preserve"> с 20.02.2025г.,</t>
    </r>
    <r>
      <rPr>
        <b/>
        <sz val="14"/>
        <rFont val="Calibri"/>
        <family val="2"/>
        <charset val="204"/>
        <scheme val="minor"/>
      </rPr>
      <t xml:space="preserve"> оплата для АН 2,5%, </t>
    </r>
    <r>
      <rPr>
        <b/>
        <sz val="14"/>
        <color rgb="FFFF0000"/>
        <rFont val="Calibri"/>
        <family val="2"/>
        <charset val="204"/>
        <scheme val="minor"/>
      </rPr>
      <t>Скидка за Наличные и сделки по Базовой ипотеки - 5%</t>
    </r>
  </si>
  <si>
    <r>
      <t>Ценообразование</t>
    </r>
    <r>
      <rPr>
        <b/>
        <sz val="14"/>
        <color rgb="FF00B050"/>
        <rFont val="Calibri"/>
        <family val="2"/>
        <charset val="204"/>
        <scheme val="minor"/>
      </rPr>
      <t xml:space="preserve"> с 20.02.2025г.,</t>
    </r>
    <r>
      <rPr>
        <b/>
        <sz val="14"/>
        <rFont val="Calibri"/>
        <family val="2"/>
        <charset val="204"/>
        <scheme val="minor"/>
      </rPr>
      <t xml:space="preserve"> оплата для АН 2,5%, </t>
    </r>
    <r>
      <rPr>
        <b/>
        <sz val="14"/>
        <color rgb="FFFF0000"/>
        <rFont val="Calibri"/>
        <family val="2"/>
        <charset val="204"/>
        <scheme val="minor"/>
      </rPr>
      <t>Семейная ипотека ДОМ.РФ с субсидированием - Удорожание на 10%</t>
    </r>
  </si>
  <si>
    <r>
      <t>Ценообразование</t>
    </r>
    <r>
      <rPr>
        <b/>
        <sz val="14"/>
        <color rgb="FF00B050"/>
        <rFont val="Calibri"/>
        <family val="2"/>
        <charset val="204"/>
        <scheme val="minor"/>
      </rPr>
      <t xml:space="preserve"> с 20.02.2025г.,</t>
    </r>
    <r>
      <rPr>
        <b/>
        <sz val="14"/>
        <rFont val="Calibri"/>
        <family val="2"/>
        <charset val="204"/>
        <scheme val="minor"/>
      </rPr>
      <t xml:space="preserve"> оплата для АН 2,5%, </t>
    </r>
    <r>
      <rPr>
        <b/>
        <sz val="14"/>
        <color rgb="FFFF0000"/>
        <rFont val="Calibri"/>
        <family val="2"/>
        <charset val="204"/>
        <scheme val="minor"/>
      </rPr>
      <t>Семейная ипотека ПАО Сбербанк с субсидированием - Удорожание на 11%</t>
    </r>
  </si>
  <si>
    <r>
      <t>Ценообразование</t>
    </r>
    <r>
      <rPr>
        <b/>
        <sz val="14"/>
        <color rgb="FF00B050"/>
        <rFont val="Calibri"/>
        <family val="2"/>
        <charset val="204"/>
        <scheme val="minor"/>
      </rPr>
      <t xml:space="preserve"> с 20.02.2025г.</t>
    </r>
    <r>
      <rPr>
        <b/>
        <sz val="14"/>
        <rFont val="Calibri"/>
        <family val="2"/>
        <charset val="204"/>
        <scheme val="minor"/>
      </rPr>
      <t>, оплата для АН 2,5%,</t>
    </r>
    <r>
      <rPr>
        <b/>
        <sz val="14"/>
        <color rgb="FFFF0000"/>
        <rFont val="Calibri"/>
        <family val="2"/>
        <charset val="204"/>
        <scheme val="minor"/>
      </rPr>
      <t xml:space="preserve">  Базовый Прейскурант для Семейной ипотеки без субсидирования</t>
    </r>
  </si>
  <si>
    <r>
      <t xml:space="preserve">Ценообразование </t>
    </r>
    <r>
      <rPr>
        <b/>
        <sz val="14"/>
        <color rgb="FF00B050"/>
        <rFont val="Calibri"/>
        <family val="2"/>
        <charset val="204"/>
        <scheme val="minor"/>
      </rPr>
      <t>с 20.02.2025г.</t>
    </r>
    <r>
      <rPr>
        <b/>
        <sz val="14"/>
        <rFont val="Calibri"/>
        <family val="2"/>
        <charset val="204"/>
        <scheme val="minor"/>
      </rPr>
      <t xml:space="preserve">, оплата для АН 2,5%, </t>
    </r>
    <r>
      <rPr>
        <b/>
        <sz val="14"/>
        <color rgb="FFFF0000"/>
        <rFont val="Calibri"/>
        <family val="2"/>
        <charset val="204"/>
        <scheme val="minor"/>
      </rPr>
      <t>Скидка за Наличные и сделки по Базовой ипотеки - 5%</t>
    </r>
  </si>
  <si>
    <r>
      <t>Ценообразование</t>
    </r>
    <r>
      <rPr>
        <b/>
        <sz val="14"/>
        <color rgb="FF00B050"/>
        <rFont val="Calibri"/>
        <family val="2"/>
        <charset val="204"/>
        <scheme val="minor"/>
      </rPr>
      <t xml:space="preserve"> с 20.02.2025г.</t>
    </r>
    <r>
      <rPr>
        <b/>
        <sz val="14"/>
        <rFont val="Calibri"/>
        <family val="2"/>
        <charset val="204"/>
        <scheme val="minor"/>
      </rPr>
      <t>, оплата для АН 2,5%,</t>
    </r>
    <r>
      <rPr>
        <b/>
        <sz val="14"/>
        <color rgb="FFFF0000"/>
        <rFont val="Calibri"/>
        <family val="2"/>
        <charset val="204"/>
        <scheme val="minor"/>
      </rPr>
      <t xml:space="preserve">  Семейная ипотека ДОМ.РФ с субсидированием - Удорожание на 10%</t>
    </r>
  </si>
  <si>
    <r>
      <t>Ценообразование</t>
    </r>
    <r>
      <rPr>
        <b/>
        <sz val="14"/>
        <color rgb="FF00B050"/>
        <rFont val="Calibri"/>
        <family val="2"/>
        <charset val="204"/>
        <scheme val="minor"/>
      </rPr>
      <t xml:space="preserve"> с 20.02.2025г.</t>
    </r>
    <r>
      <rPr>
        <b/>
        <sz val="14"/>
        <rFont val="Calibri"/>
        <family val="2"/>
        <charset val="204"/>
        <scheme val="minor"/>
      </rPr>
      <t>, оплата для АН 2,5%,</t>
    </r>
    <r>
      <rPr>
        <b/>
        <sz val="14"/>
        <color rgb="FFFF0000"/>
        <rFont val="Calibri"/>
        <family val="2"/>
        <charset val="204"/>
        <scheme val="minor"/>
      </rPr>
      <t xml:space="preserve">  Семейная ипотека ПАО Сбербанк с субсидированием - Удорожание на 11%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</si>
</sst>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\ ##0"/>
  </numFmts>
  <fonts count="20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color rgb="FF00B050"/>
      <name val="Calibri"/>
      <family val="2"/>
      <charset val="204"/>
      <scheme val="minor"/>
    </font>
    <font>
      <b/>
      <sz val="14"/>
      <color rgb="FFFF0000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2"/>
      <color rgb="FF1F497D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color rgb="FF00B05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41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42">
    <xf numFmtId="0" fontId="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</cellStyleXfs>
  <cellXfs count="253">
    <xf numFmtId="0" fontId="0" fillId="0" borderId="0" xfId="0"/>
    <xf numFmtId="0" fontId="0" fillId="2" borderId="0" xfId="0" applyFill="1"/>
    <xf numFmtId="0" fontId="3" fillId="0" borderId="0" xfId="0" applyFont="1"/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/>
    </xf>
    <xf numFmtId="2" fontId="3" fillId="4" borderId="5" xfId="0" applyNumberFormat="1" applyFont="1" applyFill="1" applyBorder="1" applyAlignment="1">
      <alignment horizontal="center"/>
    </xf>
    <xf numFmtId="0" fontId="3" fillId="4" borderId="6" xfId="0" applyFont="1" applyFill="1" applyBorder="1" applyAlignment="1">
      <alignment horizontal="center"/>
    </xf>
    <xf numFmtId="0" fontId="3" fillId="0" borderId="7" xfId="0" applyFont="1" applyBorder="1" applyAlignment="1">
      <alignment horizontal="center"/>
    </xf>
    <xf numFmtId="2" fontId="3" fillId="2" borderId="5" xfId="0" applyNumberFormat="1" applyFont="1" applyFill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2" fontId="3" fillId="2" borderId="9" xfId="0" applyNumberFormat="1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2" fontId="3" fillId="4" borderId="2" xfId="0" applyNumberFormat="1" applyFont="1" applyFill="1" applyBorder="1" applyAlignment="1">
      <alignment horizontal="center"/>
    </xf>
    <xf numFmtId="0" fontId="3" fillId="4" borderId="11" xfId="0" applyFont="1" applyFill="1" applyBorder="1" applyAlignment="1">
      <alignment horizontal="center"/>
    </xf>
    <xf numFmtId="0" fontId="3" fillId="0" borderId="12" xfId="0" applyFont="1" applyBorder="1" applyAlignment="1">
      <alignment horizontal="center"/>
    </xf>
    <xf numFmtId="2" fontId="3" fillId="2" borderId="13" xfId="0" applyNumberFormat="1" applyFont="1" applyFill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4" borderId="7" xfId="0" applyFont="1" applyFill="1" applyBorder="1" applyAlignment="1">
      <alignment horizontal="center"/>
    </xf>
    <xf numFmtId="0" fontId="3" fillId="4" borderId="12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2" fontId="3" fillId="2" borderId="0" xfId="0" applyNumberFormat="1" applyFont="1" applyFill="1" applyBorder="1" applyAlignment="1">
      <alignment horizontal="center"/>
    </xf>
    <xf numFmtId="164" fontId="3" fillId="0" borderId="0" xfId="0" applyNumberFormat="1" applyFont="1" applyBorder="1" applyAlignment="1">
      <alignment horizontal="center"/>
    </xf>
    <xf numFmtId="164" fontId="3" fillId="3" borderId="0" xfId="0" applyNumberFormat="1" applyFont="1" applyFill="1" applyBorder="1" applyAlignment="1">
      <alignment horizontal="center"/>
    </xf>
    <xf numFmtId="164" fontId="3" fillId="2" borderId="0" xfId="0" applyNumberFormat="1" applyFont="1" applyFill="1" applyBorder="1" applyAlignment="1">
      <alignment horizontal="center"/>
    </xf>
    <xf numFmtId="164" fontId="3" fillId="0" borderId="0" xfId="0" applyNumberFormat="1" applyFont="1"/>
    <xf numFmtId="164" fontId="0" fillId="0" borderId="0" xfId="0" applyNumberFormat="1"/>
    <xf numFmtId="0" fontId="6" fillId="3" borderId="21" xfId="0" applyFont="1" applyFill="1" applyBorder="1" applyAlignment="1">
      <alignment horizontal="center" vertical="center"/>
    </xf>
    <xf numFmtId="0" fontId="6" fillId="3" borderId="22" xfId="0" applyFont="1" applyFill="1" applyBorder="1" applyAlignment="1">
      <alignment horizontal="center" vertical="center" wrapText="1"/>
    </xf>
    <xf numFmtId="0" fontId="7" fillId="2" borderId="21" xfId="0" applyFont="1" applyFill="1" applyBorder="1"/>
    <xf numFmtId="0" fontId="7" fillId="0" borderId="22" xfId="0" applyFont="1" applyBorder="1" applyAlignment="1">
      <alignment horizontal="center"/>
    </xf>
    <xf numFmtId="0" fontId="7" fillId="2" borderId="12" xfId="0" applyFont="1" applyFill="1" applyBorder="1"/>
    <xf numFmtId="0" fontId="7" fillId="0" borderId="2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7" fillId="2" borderId="8" xfId="0" applyFont="1" applyFill="1" applyBorder="1"/>
    <xf numFmtId="0" fontId="7" fillId="0" borderId="9" xfId="0" applyFont="1" applyBorder="1" applyAlignment="1">
      <alignment horizontal="center"/>
    </xf>
    <xf numFmtId="0" fontId="7" fillId="2" borderId="1" xfId="0" applyFont="1" applyFill="1" applyBorder="1"/>
    <xf numFmtId="0" fontId="7" fillId="0" borderId="5" xfId="0" applyFont="1" applyBorder="1" applyAlignment="1">
      <alignment horizontal="center"/>
    </xf>
    <xf numFmtId="0" fontId="7" fillId="2" borderId="26" xfId="0" applyFont="1" applyFill="1" applyBorder="1"/>
    <xf numFmtId="0" fontId="0" fillId="0" borderId="9" xfId="0" applyBorder="1" applyAlignment="1">
      <alignment horizontal="center"/>
    </xf>
    <xf numFmtId="0" fontId="7" fillId="2" borderId="27" xfId="0" applyFont="1" applyFill="1" applyBorder="1"/>
    <xf numFmtId="0" fontId="7" fillId="0" borderId="28" xfId="0" applyFont="1" applyBorder="1" applyAlignment="1">
      <alignment horizontal="center"/>
    </xf>
    <xf numFmtId="0" fontId="6" fillId="3" borderId="29" xfId="0" applyFont="1" applyFill="1" applyBorder="1" applyAlignment="1">
      <alignment horizontal="center" vertical="center" wrapText="1"/>
    </xf>
    <xf numFmtId="0" fontId="7" fillId="2" borderId="29" xfId="0" applyFont="1" applyFill="1" applyBorder="1" applyAlignment="1">
      <alignment horizontal="center"/>
    </xf>
    <xf numFmtId="0" fontId="7" fillId="2" borderId="14" xfId="0" applyFont="1" applyFill="1" applyBorder="1" applyAlignment="1">
      <alignment horizontal="center"/>
    </xf>
    <xf numFmtId="0" fontId="7" fillId="2" borderId="10" xfId="0" applyFont="1" applyFill="1" applyBorder="1" applyAlignment="1">
      <alignment horizontal="center"/>
    </xf>
    <xf numFmtId="0" fontId="7" fillId="2" borderId="11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8" fillId="0" borderId="0" xfId="0" applyFont="1"/>
    <xf numFmtId="0" fontId="7" fillId="2" borderId="19" xfId="0" applyFont="1" applyFill="1" applyBorder="1" applyAlignment="1">
      <alignment horizontal="center"/>
    </xf>
    <xf numFmtId="0" fontId="5" fillId="3" borderId="21" xfId="0" applyFont="1" applyFill="1" applyBorder="1" applyAlignment="1">
      <alignment horizontal="center" vertical="center"/>
    </xf>
    <xf numFmtId="0" fontId="5" fillId="3" borderId="22" xfId="0" applyFont="1" applyFill="1" applyBorder="1" applyAlignment="1">
      <alignment horizontal="center" vertical="center" wrapText="1"/>
    </xf>
    <xf numFmtId="0" fontId="5" fillId="3" borderId="23" xfId="0" applyFont="1" applyFill="1" applyBorder="1" applyAlignment="1">
      <alignment horizontal="center" vertical="center" wrapText="1"/>
    </xf>
    <xf numFmtId="0" fontId="3" fillId="0" borderId="7" xfId="0" applyFont="1" applyBorder="1"/>
    <xf numFmtId="2" fontId="3" fillId="0" borderId="5" xfId="0" applyNumberFormat="1" applyFont="1" applyBorder="1" applyAlignment="1">
      <alignment horizontal="center" wrapText="1"/>
    </xf>
    <xf numFmtId="2" fontId="3" fillId="0" borderId="25" xfId="0" applyNumberFormat="1" applyFont="1" applyBorder="1" applyAlignment="1">
      <alignment horizontal="center" wrapText="1"/>
    </xf>
    <xf numFmtId="0" fontId="3" fillId="0" borderId="1" xfId="0" applyFont="1" applyBorder="1"/>
    <xf numFmtId="2" fontId="3" fillId="0" borderId="2" xfId="0" applyNumberFormat="1" applyFont="1" applyBorder="1" applyAlignment="1">
      <alignment horizontal="center" wrapText="1"/>
    </xf>
    <xf numFmtId="0" fontId="3" fillId="0" borderId="12" xfId="0" applyFont="1" applyBorder="1"/>
    <xf numFmtId="0" fontId="3" fillId="0" borderId="8" xfId="0" applyFont="1" applyBorder="1"/>
    <xf numFmtId="2" fontId="3" fillId="0" borderId="9" xfId="0" applyNumberFormat="1" applyFont="1" applyBorder="1" applyAlignment="1">
      <alignment horizontal="center" wrapText="1"/>
    </xf>
    <xf numFmtId="2" fontId="3" fillId="0" borderId="13" xfId="0" applyNumberFormat="1" applyFont="1" applyBorder="1" applyAlignment="1">
      <alignment horizontal="center" wrapText="1"/>
    </xf>
    <xf numFmtId="2" fontId="3" fillId="0" borderId="17" xfId="0" applyNumberFormat="1" applyFont="1" applyBorder="1" applyAlignment="1">
      <alignment horizontal="center" wrapText="1"/>
    </xf>
    <xf numFmtId="2" fontId="3" fillId="0" borderId="16" xfId="0" applyNumberFormat="1" applyFont="1" applyBorder="1" applyAlignment="1">
      <alignment horizontal="center" wrapText="1"/>
    </xf>
    <xf numFmtId="2" fontId="3" fillId="0" borderId="20" xfId="0" applyNumberFormat="1" applyFont="1" applyBorder="1" applyAlignment="1">
      <alignment horizontal="center" wrapText="1"/>
    </xf>
    <xf numFmtId="2" fontId="3" fillId="0" borderId="3" xfId="0" applyNumberFormat="1" applyFont="1" applyBorder="1" applyAlignment="1">
      <alignment horizontal="center" wrapText="1"/>
    </xf>
    <xf numFmtId="2" fontId="3" fillId="0" borderId="32" xfId="0" applyNumberFormat="1" applyFont="1" applyBorder="1" applyAlignment="1">
      <alignment horizontal="center" wrapText="1"/>
    </xf>
    <xf numFmtId="0" fontId="5" fillId="3" borderId="29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33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8" fillId="0" borderId="34" xfId="0" applyFont="1" applyBorder="1" applyAlignment="1">
      <alignment horizontal="left"/>
    </xf>
    <xf numFmtId="0" fontId="3" fillId="0" borderId="35" xfId="0" applyFont="1" applyBorder="1" applyAlignment="1">
      <alignment horizontal="center"/>
    </xf>
    <xf numFmtId="0" fontId="3" fillId="0" borderId="36" xfId="0" applyFont="1" applyBorder="1" applyAlignment="1">
      <alignment horizontal="center"/>
    </xf>
    <xf numFmtId="0" fontId="6" fillId="5" borderId="1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center" vertical="center" wrapText="1"/>
    </xf>
    <xf numFmtId="0" fontId="6" fillId="5" borderId="11" xfId="0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30" xfId="0" applyFont="1" applyBorder="1"/>
    <xf numFmtId="0" fontId="9" fillId="0" borderId="2" xfId="0" applyFont="1" applyBorder="1" applyAlignment="1">
      <alignment horizontal="center" vertical="center"/>
    </xf>
    <xf numFmtId="3" fontId="3" fillId="4" borderId="5" xfId="0" applyNumberFormat="1" applyFont="1" applyFill="1" applyBorder="1" applyAlignment="1">
      <alignment horizontal="center"/>
    </xf>
    <xf numFmtId="3" fontId="3" fillId="3" borderId="5" xfId="0" applyNumberFormat="1" applyFont="1" applyFill="1" applyBorder="1" applyAlignment="1">
      <alignment horizontal="center"/>
    </xf>
    <xf numFmtId="3" fontId="3" fillId="3" borderId="9" xfId="0" applyNumberFormat="1" applyFont="1" applyFill="1" applyBorder="1" applyAlignment="1">
      <alignment horizontal="center"/>
    </xf>
    <xf numFmtId="3" fontId="3" fillId="3" borderId="13" xfId="0" applyNumberFormat="1" applyFont="1" applyFill="1" applyBorder="1" applyAlignment="1">
      <alignment horizontal="center"/>
    </xf>
    <xf numFmtId="3" fontId="3" fillId="4" borderId="2" xfId="0" applyNumberFormat="1" applyFont="1" applyFill="1" applyBorder="1" applyAlignment="1">
      <alignment horizontal="center"/>
    </xf>
    <xf numFmtId="0" fontId="17" fillId="4" borderId="6" xfId="0" applyFont="1" applyFill="1" applyBorder="1" applyAlignment="1">
      <alignment horizontal="center"/>
    </xf>
    <xf numFmtId="0" fontId="17" fillId="4" borderId="11" xfId="0" applyFont="1" applyFill="1" applyBorder="1" applyAlignment="1">
      <alignment horizontal="center"/>
    </xf>
    <xf numFmtId="0" fontId="17" fillId="0" borderId="6" xfId="0" applyFont="1" applyBorder="1" applyAlignment="1">
      <alignment horizontal="center"/>
    </xf>
    <xf numFmtId="0" fontId="17" fillId="0" borderId="14" xfId="0" applyFont="1" applyBorder="1" applyAlignment="1">
      <alignment horizontal="center"/>
    </xf>
    <xf numFmtId="0" fontId="17" fillId="0" borderId="10" xfId="0" applyFont="1" applyBorder="1" applyAlignment="1">
      <alignment horizontal="center"/>
    </xf>
    <xf numFmtId="0" fontId="3" fillId="4" borderId="38" xfId="0" applyFont="1" applyFill="1" applyBorder="1" applyAlignment="1">
      <alignment horizontal="center"/>
    </xf>
    <xf numFmtId="2" fontId="3" fillId="4" borderId="9" xfId="0" applyNumberFormat="1" applyFont="1" applyFill="1" applyBorder="1" applyAlignment="1">
      <alignment horizontal="center"/>
    </xf>
    <xf numFmtId="3" fontId="3" fillId="4" borderId="9" xfId="0" applyNumberFormat="1" applyFont="1" applyFill="1" applyBorder="1" applyAlignment="1">
      <alignment horizontal="center"/>
    </xf>
    <xf numFmtId="0" fontId="3" fillId="4" borderId="10" xfId="0" applyFont="1" applyFill="1" applyBorder="1" applyAlignment="1">
      <alignment horizontal="center"/>
    </xf>
    <xf numFmtId="0" fontId="3" fillId="4" borderId="39" xfId="0" applyFont="1" applyFill="1" applyBorder="1" applyAlignment="1">
      <alignment horizontal="center"/>
    </xf>
    <xf numFmtId="0" fontId="17" fillId="4" borderId="10" xfId="0" applyFont="1" applyFill="1" applyBorder="1" applyAlignment="1">
      <alignment horizontal="center"/>
    </xf>
    <xf numFmtId="0" fontId="17" fillId="4" borderId="39" xfId="0" applyFont="1" applyFill="1" applyBorder="1" applyAlignment="1">
      <alignment horizontal="center"/>
    </xf>
    <xf numFmtId="0" fontId="17" fillId="4" borderId="38" xfId="0" applyFont="1" applyFill="1" applyBorder="1" applyAlignment="1">
      <alignment horizontal="center"/>
    </xf>
    <xf numFmtId="3" fontId="10" fillId="0" borderId="9" xfId="0" applyNumberFormat="1" applyFont="1" applyBorder="1" applyAlignment="1">
      <alignment horizontal="center" vertical="center" wrapText="1"/>
    </xf>
    <xf numFmtId="3" fontId="10" fillId="0" borderId="20" xfId="0" applyNumberFormat="1" applyFont="1" applyBorder="1" applyAlignment="1">
      <alignment horizontal="center" vertical="center" wrapText="1"/>
    </xf>
    <xf numFmtId="3" fontId="10" fillId="6" borderId="13" xfId="0" applyNumberFormat="1" applyFont="1" applyFill="1" applyBorder="1" applyAlignment="1">
      <alignment horizontal="center" vertical="center" wrapText="1"/>
    </xf>
    <xf numFmtId="3" fontId="10" fillId="6" borderId="17" xfId="0" applyNumberFormat="1" applyFont="1" applyFill="1" applyBorder="1" applyAlignment="1">
      <alignment horizontal="center" vertical="center" wrapText="1"/>
    </xf>
    <xf numFmtId="3" fontId="10" fillId="6" borderId="25" xfId="0" applyNumberFormat="1" applyFont="1" applyFill="1" applyBorder="1" applyAlignment="1">
      <alignment horizontal="center" vertical="center" wrapText="1"/>
    </xf>
    <xf numFmtId="3" fontId="10" fillId="6" borderId="24" xfId="0" applyNumberFormat="1" applyFont="1" applyFill="1" applyBorder="1" applyAlignment="1">
      <alignment horizontal="center" vertical="center" wrapText="1"/>
    </xf>
    <xf numFmtId="3" fontId="10" fillId="6" borderId="5" xfId="0" applyNumberFormat="1" applyFont="1" applyFill="1" applyBorder="1" applyAlignment="1">
      <alignment horizontal="center" vertical="center" wrapText="1"/>
    </xf>
    <xf numFmtId="3" fontId="10" fillId="6" borderId="16" xfId="0" applyNumberFormat="1" applyFont="1" applyFill="1" applyBorder="1" applyAlignment="1">
      <alignment horizontal="center" vertical="center" wrapText="1"/>
    </xf>
    <xf numFmtId="3" fontId="10" fillId="6" borderId="9" xfId="0" applyNumberFormat="1" applyFont="1" applyFill="1" applyBorder="1" applyAlignment="1">
      <alignment horizontal="center" vertical="center" wrapText="1"/>
    </xf>
    <xf numFmtId="3" fontId="10" fillId="6" borderId="20" xfId="0" applyNumberFormat="1" applyFont="1" applyFill="1" applyBorder="1" applyAlignment="1">
      <alignment horizontal="center" vertical="center" wrapText="1"/>
    </xf>
    <xf numFmtId="3" fontId="3" fillId="0" borderId="0" xfId="0" applyNumberFormat="1" applyFont="1"/>
    <xf numFmtId="3" fontId="10" fillId="0" borderId="2" xfId="0" applyNumberFormat="1" applyFont="1" applyBorder="1" applyAlignment="1">
      <alignment horizontal="center" vertical="center" wrapText="1"/>
    </xf>
    <xf numFmtId="3" fontId="10" fillId="0" borderId="3" xfId="0" applyNumberFormat="1" applyFont="1" applyBorder="1" applyAlignment="1">
      <alignment horizontal="center" vertical="center" wrapText="1"/>
    </xf>
    <xf numFmtId="3" fontId="10" fillId="0" borderId="13" xfId="0" applyNumberFormat="1" applyFont="1" applyBorder="1" applyAlignment="1">
      <alignment horizontal="center" vertical="center" wrapText="1"/>
    </xf>
    <xf numFmtId="3" fontId="10" fillId="0" borderId="17" xfId="0" applyNumberFormat="1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/>
    </xf>
    <xf numFmtId="0" fontId="17" fillId="0" borderId="33" xfId="0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17" fillId="0" borderId="37" xfId="0" applyFont="1" applyBorder="1" applyAlignment="1">
      <alignment horizontal="center"/>
    </xf>
    <xf numFmtId="3" fontId="3" fillId="0" borderId="16" xfId="0" applyNumberFormat="1" applyFont="1" applyBorder="1" applyAlignment="1">
      <alignment horizontal="center"/>
    </xf>
    <xf numFmtId="3" fontId="3" fillId="3" borderId="16" xfId="0" applyNumberFormat="1" applyFont="1" applyFill="1" applyBorder="1" applyAlignment="1">
      <alignment horizontal="center"/>
    </xf>
    <xf numFmtId="3" fontId="3" fillId="3" borderId="24" xfId="0" applyNumberFormat="1" applyFont="1" applyFill="1" applyBorder="1" applyAlignment="1">
      <alignment horizontal="center"/>
    </xf>
    <xf numFmtId="3" fontId="3" fillId="0" borderId="24" xfId="0" applyNumberFormat="1" applyFont="1" applyBorder="1" applyAlignment="1">
      <alignment horizontal="center"/>
    </xf>
    <xf numFmtId="3" fontId="3" fillId="0" borderId="3" xfId="0" applyNumberFormat="1" applyFont="1" applyBorder="1" applyAlignment="1">
      <alignment horizontal="center"/>
    </xf>
    <xf numFmtId="3" fontId="3" fillId="3" borderId="3" xfId="0" applyNumberFormat="1" applyFont="1" applyFill="1" applyBorder="1" applyAlignment="1">
      <alignment horizontal="center"/>
    </xf>
    <xf numFmtId="3" fontId="3" fillId="0" borderId="30" xfId="0" applyNumberFormat="1" applyFont="1" applyBorder="1" applyAlignment="1">
      <alignment horizontal="center"/>
    </xf>
    <xf numFmtId="3" fontId="3" fillId="3" borderId="30" xfId="0" applyNumberFormat="1" applyFont="1" applyFill="1" applyBorder="1" applyAlignment="1">
      <alignment horizontal="center"/>
    </xf>
    <xf numFmtId="3" fontId="3" fillId="0" borderId="20" xfId="0" applyNumberFormat="1" applyFont="1" applyBorder="1" applyAlignment="1">
      <alignment horizontal="center"/>
    </xf>
    <xf numFmtId="3" fontId="3" fillId="3" borderId="20" xfId="0" applyNumberFormat="1" applyFont="1" applyFill="1" applyBorder="1" applyAlignment="1">
      <alignment horizontal="center"/>
    </xf>
    <xf numFmtId="3" fontId="3" fillId="0" borderId="17" xfId="0" applyNumberFormat="1" applyFont="1" applyBorder="1" applyAlignment="1">
      <alignment horizontal="center"/>
    </xf>
    <xf numFmtId="3" fontId="3" fillId="3" borderId="17" xfId="0" applyNumberFormat="1" applyFont="1" applyFill="1" applyBorder="1" applyAlignment="1">
      <alignment horizontal="center"/>
    </xf>
    <xf numFmtId="3" fontId="3" fillId="0" borderId="2" xfId="0" applyNumberFormat="1" applyFont="1" applyBorder="1" applyAlignment="1">
      <alignment horizontal="center"/>
    </xf>
    <xf numFmtId="3" fontId="3" fillId="3" borderId="18" xfId="0" applyNumberFormat="1" applyFont="1" applyFill="1" applyBorder="1" applyAlignment="1">
      <alignment horizontal="center"/>
    </xf>
    <xf numFmtId="3" fontId="3" fillId="3" borderId="2" xfId="0" applyNumberFormat="1" applyFont="1" applyFill="1" applyBorder="1" applyAlignment="1">
      <alignment horizontal="center"/>
    </xf>
    <xf numFmtId="3" fontId="3" fillId="0" borderId="13" xfId="0" applyNumberFormat="1" applyFont="1" applyBorder="1" applyAlignment="1">
      <alignment horizontal="center"/>
    </xf>
    <xf numFmtId="3" fontId="3" fillId="0" borderId="9" xfId="0" applyNumberFormat="1" applyFont="1" applyBorder="1" applyAlignment="1">
      <alignment horizontal="center"/>
    </xf>
    <xf numFmtId="3" fontId="3" fillId="3" borderId="31" xfId="0" applyNumberFormat="1" applyFont="1" applyFill="1" applyBorder="1" applyAlignment="1">
      <alignment horizontal="center"/>
    </xf>
    <xf numFmtId="3" fontId="3" fillId="3" borderId="15" xfId="0" applyNumberFormat="1" applyFont="1" applyFill="1" applyBorder="1" applyAlignment="1">
      <alignment horizontal="center"/>
    </xf>
    <xf numFmtId="3" fontId="3" fillId="0" borderId="25" xfId="0" applyNumberFormat="1" applyFont="1" applyBorder="1" applyAlignment="1">
      <alignment horizontal="center"/>
    </xf>
    <xf numFmtId="3" fontId="3" fillId="3" borderId="32" xfId="0" applyNumberFormat="1" applyFont="1" applyFill="1" applyBorder="1" applyAlignment="1">
      <alignment horizontal="center"/>
    </xf>
    <xf numFmtId="3" fontId="3" fillId="3" borderId="25" xfId="0" applyNumberFormat="1" applyFont="1" applyFill="1" applyBorder="1" applyAlignment="1">
      <alignment horizontal="center"/>
    </xf>
    <xf numFmtId="0" fontId="4" fillId="2" borderId="0" xfId="0" applyFont="1" applyFill="1" applyAlignment="1">
      <alignment horizontal="left"/>
    </xf>
    <xf numFmtId="0" fontId="4" fillId="2" borderId="0" xfId="0" applyFont="1" applyFill="1"/>
    <xf numFmtId="3" fontId="7" fillId="2" borderId="23" xfId="0" applyNumberFormat="1" applyFont="1" applyFill="1" applyBorder="1" applyAlignment="1">
      <alignment horizontal="center"/>
    </xf>
    <xf numFmtId="3" fontId="7" fillId="3" borderId="23" xfId="0" applyNumberFormat="1" applyFont="1" applyFill="1" applyBorder="1" applyAlignment="1">
      <alignment horizontal="center"/>
    </xf>
    <xf numFmtId="3" fontId="7" fillId="3" borderId="22" xfId="0" applyNumberFormat="1" applyFont="1" applyFill="1" applyBorder="1" applyAlignment="1">
      <alignment horizontal="center"/>
    </xf>
    <xf numFmtId="3" fontId="7" fillId="2" borderId="22" xfId="0" applyNumberFormat="1" applyFont="1" applyFill="1" applyBorder="1" applyAlignment="1">
      <alignment horizontal="center"/>
    </xf>
    <xf numFmtId="3" fontId="8" fillId="3" borderId="3" xfId="0" applyNumberFormat="1" applyFont="1" applyFill="1" applyBorder="1" applyAlignment="1">
      <alignment horizontal="center"/>
    </xf>
    <xf numFmtId="3" fontId="8" fillId="3" borderId="2" xfId="0" applyNumberFormat="1" applyFont="1" applyFill="1" applyBorder="1" applyAlignment="1">
      <alignment horizontal="center"/>
    </xf>
    <xf numFmtId="3" fontId="7" fillId="2" borderId="3" xfId="0" applyNumberFormat="1" applyFont="1" applyFill="1" applyBorder="1" applyAlignment="1">
      <alignment horizontal="center"/>
    </xf>
    <xf numFmtId="3" fontId="7" fillId="3" borderId="2" xfId="0" applyNumberFormat="1" applyFont="1" applyFill="1" applyBorder="1" applyAlignment="1">
      <alignment horizontal="center"/>
    </xf>
    <xf numFmtId="3" fontId="7" fillId="2" borderId="13" xfId="0" applyNumberFormat="1" applyFont="1" applyFill="1" applyBorder="1" applyAlignment="1">
      <alignment horizontal="center"/>
    </xf>
    <xf numFmtId="3" fontId="7" fillId="3" borderId="5" xfId="0" applyNumberFormat="1" applyFont="1" applyFill="1" applyBorder="1" applyAlignment="1">
      <alignment horizontal="center"/>
    </xf>
    <xf numFmtId="3" fontId="7" fillId="3" borderId="13" xfId="0" applyNumberFormat="1" applyFont="1" applyFill="1" applyBorder="1" applyAlignment="1">
      <alignment horizontal="center"/>
    </xf>
    <xf numFmtId="3" fontId="7" fillId="2" borderId="17" xfId="0" applyNumberFormat="1" applyFont="1" applyFill="1" applyBorder="1" applyAlignment="1">
      <alignment horizontal="center"/>
    </xf>
    <xf numFmtId="3" fontId="7" fillId="2" borderId="9" xfId="0" applyNumberFormat="1" applyFont="1" applyFill="1" applyBorder="1" applyAlignment="1">
      <alignment horizontal="center"/>
    </xf>
    <xf numFmtId="3" fontId="7" fillId="3" borderId="24" xfId="0" applyNumberFormat="1" applyFont="1" applyFill="1" applyBorder="1" applyAlignment="1">
      <alignment horizontal="center"/>
    </xf>
    <xf numFmtId="3" fontId="7" fillId="3" borderId="25" xfId="0" applyNumberFormat="1" applyFont="1" applyFill="1" applyBorder="1" applyAlignment="1">
      <alignment horizontal="center"/>
    </xf>
    <xf numFmtId="3" fontId="7" fillId="3" borderId="9" xfId="0" applyNumberFormat="1" applyFont="1" applyFill="1" applyBorder="1" applyAlignment="1">
      <alignment horizontal="center"/>
    </xf>
    <xf numFmtId="3" fontId="7" fillId="3" borderId="20" xfId="0" applyNumberFormat="1" applyFont="1" applyFill="1" applyBorder="1" applyAlignment="1">
      <alignment horizontal="center"/>
    </xf>
    <xf numFmtId="3" fontId="7" fillId="2" borderId="2" xfId="0" applyNumberFormat="1" applyFont="1" applyFill="1" applyBorder="1" applyAlignment="1">
      <alignment horizontal="center"/>
    </xf>
    <xf numFmtId="3" fontId="7" fillId="2" borderId="5" xfId="0" applyNumberFormat="1" applyFont="1" applyFill="1" applyBorder="1" applyAlignment="1">
      <alignment horizontal="center"/>
    </xf>
    <xf numFmtId="3" fontId="0" fillId="2" borderId="9" xfId="0" applyNumberFormat="1" applyFill="1" applyBorder="1" applyAlignment="1">
      <alignment horizontal="center"/>
    </xf>
    <xf numFmtId="3" fontId="0" fillId="3" borderId="9" xfId="0" applyNumberFormat="1" applyFill="1" applyBorder="1" applyAlignment="1">
      <alignment horizontal="center"/>
    </xf>
    <xf numFmtId="3" fontId="7" fillId="2" borderId="28" xfId="0" applyNumberFormat="1" applyFont="1" applyFill="1" applyBorder="1" applyAlignment="1">
      <alignment horizontal="center"/>
    </xf>
    <xf numFmtId="3" fontId="7" fillId="3" borderId="28" xfId="0" applyNumberFormat="1" applyFont="1" applyFill="1" applyBorder="1" applyAlignment="1">
      <alignment horizontal="center"/>
    </xf>
    <xf numFmtId="3" fontId="0" fillId="3" borderId="22" xfId="0" applyNumberFormat="1" applyFill="1" applyBorder="1" applyAlignment="1">
      <alignment horizontal="center"/>
    </xf>
    <xf numFmtId="3" fontId="0" fillId="2" borderId="22" xfId="0" applyNumberFormat="1" applyFill="1" applyBorder="1" applyAlignment="1">
      <alignment horizontal="center"/>
    </xf>
    <xf numFmtId="0" fontId="3" fillId="2" borderId="29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3" fillId="2" borderId="19" xfId="0" applyFont="1" applyFill="1" applyBorder="1" applyAlignment="1">
      <alignment horizontal="center"/>
    </xf>
    <xf numFmtId="0" fontId="5" fillId="2" borderId="21" xfId="0" applyFont="1" applyFill="1" applyBorder="1" applyAlignment="1">
      <alignment horizontal="center" vertical="center"/>
    </xf>
    <xf numFmtId="0" fontId="3" fillId="2" borderId="21" xfId="0" applyFont="1" applyFill="1" applyBorder="1"/>
    <xf numFmtId="0" fontId="3" fillId="2" borderId="12" xfId="0" applyFont="1" applyFill="1" applyBorder="1"/>
    <xf numFmtId="0" fontId="3" fillId="2" borderId="8" xfId="0" applyFont="1" applyFill="1" applyBorder="1"/>
    <xf numFmtId="0" fontId="3" fillId="2" borderId="26" xfId="0" applyFont="1" applyFill="1" applyBorder="1"/>
    <xf numFmtId="0" fontId="3" fillId="2" borderId="27" xfId="0" applyFont="1" applyFill="1" applyBorder="1"/>
    <xf numFmtId="0" fontId="3" fillId="2" borderId="23" xfId="0" applyFont="1" applyFill="1" applyBorder="1" applyAlignment="1">
      <alignment horizontal="center"/>
    </xf>
    <xf numFmtId="0" fontId="3" fillId="2" borderId="33" xfId="0" applyFont="1" applyFill="1" applyBorder="1" applyAlignment="1">
      <alignment horizontal="center"/>
    </xf>
    <xf numFmtId="0" fontId="5" fillId="2" borderId="29" xfId="0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3" fillId="2" borderId="40" xfId="0" applyFont="1" applyFill="1" applyBorder="1" applyAlignment="1">
      <alignment horizontal="center"/>
    </xf>
    <xf numFmtId="3" fontId="3" fillId="7" borderId="23" xfId="0" applyNumberFormat="1" applyFont="1" applyFill="1" applyBorder="1" applyAlignment="1">
      <alignment horizontal="center"/>
    </xf>
    <xf numFmtId="3" fontId="3" fillId="7" borderId="22" xfId="0" applyNumberFormat="1" applyFont="1" applyFill="1" applyBorder="1" applyAlignment="1">
      <alignment horizontal="center"/>
    </xf>
    <xf numFmtId="3" fontId="3" fillId="2" borderId="23" xfId="0" applyNumberFormat="1" applyFont="1" applyFill="1" applyBorder="1" applyAlignment="1">
      <alignment horizontal="center"/>
    </xf>
    <xf numFmtId="3" fontId="3" fillId="3" borderId="22" xfId="0" applyNumberFormat="1" applyFont="1" applyFill="1" applyBorder="1" applyAlignment="1">
      <alignment horizontal="center"/>
    </xf>
    <xf numFmtId="3" fontId="3" fillId="2" borderId="22" xfId="0" applyNumberFormat="1" applyFont="1" applyFill="1" applyBorder="1" applyAlignment="1">
      <alignment horizontal="center"/>
    </xf>
    <xf numFmtId="3" fontId="3" fillId="2" borderId="3" xfId="0" applyNumberFormat="1" applyFont="1" applyFill="1" applyBorder="1" applyAlignment="1">
      <alignment horizontal="center"/>
    </xf>
    <xf numFmtId="3" fontId="3" fillId="2" borderId="2" xfId="0" applyNumberFormat="1" applyFont="1" applyFill="1" applyBorder="1" applyAlignment="1">
      <alignment horizontal="center"/>
    </xf>
    <xf numFmtId="3" fontId="3" fillId="2" borderId="13" xfId="0" applyNumberFormat="1" applyFont="1" applyFill="1" applyBorder="1" applyAlignment="1">
      <alignment horizontal="center"/>
    </xf>
    <xf numFmtId="3" fontId="3" fillId="2" borderId="16" xfId="0" applyNumberFormat="1" applyFont="1" applyFill="1" applyBorder="1" applyAlignment="1">
      <alignment horizontal="center"/>
    </xf>
    <xf numFmtId="3" fontId="3" fillId="2" borderId="5" xfId="0" applyNumberFormat="1" applyFont="1" applyFill="1" applyBorder="1" applyAlignment="1">
      <alignment horizontal="center"/>
    </xf>
    <xf numFmtId="3" fontId="3" fillId="2" borderId="9" xfId="0" applyNumberFormat="1" applyFont="1" applyFill="1" applyBorder="1" applyAlignment="1">
      <alignment horizontal="center"/>
    </xf>
    <xf numFmtId="3" fontId="3" fillId="2" borderId="20" xfId="0" applyNumberFormat="1" applyFont="1" applyFill="1" applyBorder="1" applyAlignment="1">
      <alignment horizontal="center"/>
    </xf>
    <xf numFmtId="3" fontId="3" fillId="7" borderId="5" xfId="0" applyNumberFormat="1" applyFont="1" applyFill="1" applyBorder="1" applyAlignment="1">
      <alignment horizontal="center"/>
    </xf>
    <xf numFmtId="3" fontId="3" fillId="7" borderId="9" xfId="0" applyNumberFormat="1" applyFont="1" applyFill="1" applyBorder="1" applyAlignment="1">
      <alignment horizontal="center"/>
    </xf>
    <xf numFmtId="3" fontId="3" fillId="2" borderId="24" xfId="0" applyNumberFormat="1" applyFont="1" applyFill="1" applyBorder="1" applyAlignment="1">
      <alignment horizontal="center"/>
    </xf>
    <xf numFmtId="3" fontId="3" fillId="3" borderId="28" xfId="0" applyNumberFormat="1" applyFont="1" applyFill="1" applyBorder="1" applyAlignment="1">
      <alignment horizontal="center"/>
    </xf>
    <xf numFmtId="3" fontId="3" fillId="0" borderId="5" xfId="0" applyNumberFormat="1" applyFont="1" applyBorder="1" applyAlignment="1">
      <alignment horizontal="center"/>
    </xf>
    <xf numFmtId="0" fontId="0" fillId="8" borderId="0" xfId="0" applyFill="1"/>
    <xf numFmtId="0" fontId="3" fillId="0" borderId="2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3" fontId="3" fillId="3" borderId="23" xfId="0" applyNumberFormat="1" applyFont="1" applyFill="1" applyBorder="1" applyAlignment="1">
      <alignment horizontal="center"/>
    </xf>
    <xf numFmtId="0" fontId="3" fillId="2" borderId="1" xfId="0" applyFont="1" applyFill="1" applyBorder="1"/>
    <xf numFmtId="3" fontId="0" fillId="0" borderId="0" xfId="0" applyNumberFormat="1"/>
    <xf numFmtId="3" fontId="0" fillId="7" borderId="5" xfId="0" applyNumberFormat="1" applyFill="1" applyBorder="1" applyAlignment="1">
      <alignment horizontal="center"/>
    </xf>
    <xf numFmtId="0" fontId="7" fillId="2" borderId="0" xfId="0" applyFont="1" applyFill="1" applyBorder="1"/>
    <xf numFmtId="3" fontId="3" fillId="2" borderId="0" xfId="0" applyNumberFormat="1" applyFont="1" applyFill="1" applyBorder="1" applyAlignment="1">
      <alignment horizontal="center"/>
    </xf>
    <xf numFmtId="3" fontId="3" fillId="3" borderId="0" xfId="0" applyNumberFormat="1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164" fontId="6" fillId="0" borderId="0" xfId="0" applyNumberFormat="1" applyFont="1" applyAlignment="1">
      <alignment horizontal="center"/>
    </xf>
    <xf numFmtId="0" fontId="19" fillId="8" borderId="0" xfId="0" applyFont="1" applyFill="1" applyAlignment="1">
      <alignment horizontal="left"/>
    </xf>
    <xf numFmtId="0" fontId="19" fillId="8" borderId="0" xfId="0" applyFont="1" applyFill="1" applyAlignment="1">
      <alignment horizontal="center"/>
    </xf>
    <xf numFmtId="3" fontId="0" fillId="9" borderId="5" xfId="0" applyNumberFormat="1" applyFill="1" applyBorder="1" applyAlignment="1">
      <alignment horizontal="center"/>
    </xf>
    <xf numFmtId="164" fontId="0" fillId="2" borderId="0" xfId="0" applyNumberFormat="1" applyFill="1"/>
    <xf numFmtId="164" fontId="6" fillId="2" borderId="0" xfId="0" applyNumberFormat="1" applyFont="1" applyFill="1" applyAlignment="1">
      <alignment horizontal="center"/>
    </xf>
    <xf numFmtId="0" fontId="15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</cellXfs>
  <cellStyles count="42">
    <cellStyle name="Обычный" xfId="0" builtinId="0"/>
    <cellStyle name="Обычный 10" xfId="1"/>
    <cellStyle name="Обычный 10 2" xfId="2"/>
    <cellStyle name="Обычный 11" xfId="3"/>
    <cellStyle name="Обычный 12" xfId="4"/>
    <cellStyle name="Обычный 2" xfId="5"/>
    <cellStyle name="Обычный 2 2" xfId="6"/>
    <cellStyle name="Обычный 2 2 2" xfId="7"/>
    <cellStyle name="Обычный 2 2 2 2" xfId="8"/>
    <cellStyle name="Обычный 2 2 2 2 2" xfId="9"/>
    <cellStyle name="Обычный 2 2 2 3" xfId="10"/>
    <cellStyle name="Обычный 2 2 3" xfId="11"/>
    <cellStyle name="Обычный 2 2 3 2" xfId="12"/>
    <cellStyle name="Обычный 2 2 4" xfId="13"/>
    <cellStyle name="Обычный 2 3" xfId="14"/>
    <cellStyle name="Обычный 2 3 2" xfId="15"/>
    <cellStyle name="Обычный 2 3 2 2" xfId="16"/>
    <cellStyle name="Обычный 2 3 3" xfId="17"/>
    <cellStyle name="Обычный 2 4" xfId="18"/>
    <cellStyle name="Обычный 2 4 2" xfId="19"/>
    <cellStyle name="Обычный 2 5" xfId="20"/>
    <cellStyle name="Обычный 3" xfId="21"/>
    <cellStyle name="Обычный 3 2" xfId="22"/>
    <cellStyle name="Обычный 3 2 2" xfId="23"/>
    <cellStyle name="Обычный 3 2 2 2" xfId="24"/>
    <cellStyle name="Обычный 3 2 3" xfId="25"/>
    <cellStyle name="Обычный 3 3" xfId="26"/>
    <cellStyle name="Обычный 3 3 2" xfId="27"/>
    <cellStyle name="Обычный 3 4" xfId="28"/>
    <cellStyle name="Обычный 3 5" xfId="29"/>
    <cellStyle name="Обычный 4" xfId="30"/>
    <cellStyle name="Обычный 4 2" xfId="31"/>
    <cellStyle name="Обычный 5" xfId="32"/>
    <cellStyle name="Обычный 5 2" xfId="33"/>
    <cellStyle name="Обычный 6" xfId="34"/>
    <cellStyle name="Обычный 6 2" xfId="35"/>
    <cellStyle name="Обычный 7" xfId="36"/>
    <cellStyle name="Обычный 7 2" xfId="37"/>
    <cellStyle name="Обычный 8" xfId="38"/>
    <cellStyle name="Обычный 8 2" xfId="39"/>
    <cellStyle name="Обычный 9" xfId="40"/>
    <cellStyle name="Обычный 9 2" xfId="4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C17"/>
  <sheetViews>
    <sheetView workbookViewId="0">
      <selection activeCell="F18" sqref="F18"/>
    </sheetView>
  </sheetViews>
  <sheetFormatPr defaultColWidth="9" defaultRowHeight="15"/>
  <cols>
    <col min="1" max="1" width="30.140625" customWidth="1"/>
    <col min="2" max="2" width="11.42578125" customWidth="1"/>
    <col min="3" max="3" width="15.7109375" customWidth="1"/>
    <col min="4" max="4" width="14" customWidth="1"/>
    <col min="6" max="6" width="44" customWidth="1"/>
  </cols>
  <sheetData>
    <row r="1" spans="1:3" ht="15.75" thickBot="1"/>
    <row r="2" spans="1:3" ht="30.75" customHeight="1" thickBot="1">
      <c r="A2" s="197" t="s">
        <v>21</v>
      </c>
      <c r="B2" s="206" t="s">
        <v>54</v>
      </c>
      <c r="C2" s="205" t="s">
        <v>95</v>
      </c>
    </row>
    <row r="3" spans="1:3" ht="15.75" thickBot="1">
      <c r="A3" s="201" t="s">
        <v>57</v>
      </c>
      <c r="B3" s="207">
        <v>55.5</v>
      </c>
      <c r="C3" s="204" t="s">
        <v>94</v>
      </c>
    </row>
    <row r="4" spans="1:3">
      <c r="A4" s="199" t="s">
        <v>61</v>
      </c>
      <c r="B4" s="208">
        <v>37</v>
      </c>
      <c r="C4" s="191" t="s">
        <v>92</v>
      </c>
    </row>
    <row r="5" spans="1:3">
      <c r="A5" s="199" t="s">
        <v>62</v>
      </c>
      <c r="B5" s="208">
        <v>55</v>
      </c>
      <c r="C5" s="193" t="s">
        <v>93</v>
      </c>
    </row>
    <row r="6" spans="1:3" ht="15.75" thickBot="1">
      <c r="A6" s="200" t="s">
        <v>63</v>
      </c>
      <c r="B6" s="209">
        <v>64.8</v>
      </c>
      <c r="C6" s="192" t="s">
        <v>93</v>
      </c>
    </row>
    <row r="7" spans="1:3">
      <c r="A7" s="199" t="s">
        <v>65</v>
      </c>
      <c r="B7" s="210">
        <v>34</v>
      </c>
      <c r="C7" s="191" t="s">
        <v>92</v>
      </c>
    </row>
    <row r="8" spans="1:3">
      <c r="A8" s="199" t="s">
        <v>65</v>
      </c>
      <c r="B8" s="210">
        <v>37</v>
      </c>
      <c r="C8" s="193" t="s">
        <v>92</v>
      </c>
    </row>
    <row r="9" spans="1:3">
      <c r="A9" s="199" t="s">
        <v>66</v>
      </c>
      <c r="B9" s="210">
        <v>51.1</v>
      </c>
      <c r="C9" s="193" t="s">
        <v>93</v>
      </c>
    </row>
    <row r="10" spans="1:3">
      <c r="A10" s="199" t="s">
        <v>65</v>
      </c>
      <c r="B10" s="210">
        <v>55</v>
      </c>
      <c r="C10" s="193" t="s">
        <v>93</v>
      </c>
    </row>
    <row r="11" spans="1:3" ht="15.75" thickBot="1">
      <c r="A11" s="201" t="s">
        <v>66</v>
      </c>
      <c r="B11" s="209">
        <v>56.5</v>
      </c>
      <c r="C11" s="192" t="s">
        <v>93</v>
      </c>
    </row>
    <row r="12" spans="1:3">
      <c r="A12" s="199" t="s">
        <v>69</v>
      </c>
      <c r="B12" s="210">
        <v>37</v>
      </c>
      <c r="C12" s="191" t="s">
        <v>92</v>
      </c>
    </row>
    <row r="13" spans="1:3">
      <c r="A13" s="199" t="s">
        <v>68</v>
      </c>
      <c r="B13" s="210">
        <v>37.700000000000003</v>
      </c>
      <c r="C13" s="193" t="s">
        <v>92</v>
      </c>
    </row>
    <row r="14" spans="1:3" ht="15.75" thickBot="1">
      <c r="A14" s="202" t="s">
        <v>69</v>
      </c>
      <c r="B14" s="211">
        <v>55</v>
      </c>
      <c r="C14" s="196" t="s">
        <v>93</v>
      </c>
    </row>
    <row r="15" spans="1:3" ht="15.75" thickBot="1">
      <c r="A15" s="198" t="s">
        <v>70</v>
      </c>
      <c r="B15" s="203">
        <v>64.5</v>
      </c>
      <c r="C15" s="190" t="s">
        <v>93</v>
      </c>
    </row>
    <row r="16" spans="1:3" ht="15.75" thickBot="1">
      <c r="A16" s="198" t="s">
        <v>71</v>
      </c>
      <c r="B16" s="203">
        <v>64.5</v>
      </c>
      <c r="C16" s="204" t="s">
        <v>93</v>
      </c>
    </row>
    <row r="17" spans="3:3">
      <c r="C17" s="3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29"/>
  <sheetViews>
    <sheetView zoomScale="90" zoomScaleNormal="90" workbookViewId="0">
      <selection activeCell="J32" sqref="J32"/>
    </sheetView>
  </sheetViews>
  <sheetFormatPr defaultColWidth="8.85546875" defaultRowHeight="15"/>
  <cols>
    <col min="1" max="1" width="13" customWidth="1"/>
    <col min="2" max="2" width="15.85546875" customWidth="1"/>
    <col min="3" max="3" width="16.140625" customWidth="1"/>
    <col min="4" max="4" width="13.5703125" customWidth="1"/>
    <col min="5" max="5" width="16" customWidth="1"/>
    <col min="6" max="6" width="14.28515625" customWidth="1"/>
    <col min="7" max="7" width="11.28515625" customWidth="1"/>
    <col min="8" max="8" width="20.140625" customWidth="1"/>
    <col min="9" max="9" width="16.85546875" customWidth="1"/>
    <col min="10" max="10" width="25.42578125" customWidth="1"/>
  </cols>
  <sheetData>
    <row r="1" spans="1:7" s="1" customFormat="1"/>
    <row r="2" spans="1:7">
      <c r="C2" s="1"/>
      <c r="D2" s="1"/>
      <c r="E2" s="1"/>
      <c r="F2" s="1"/>
      <c r="G2" s="1"/>
    </row>
    <row r="3" spans="1:7" ht="15.75">
      <c r="A3" s="246" t="s">
        <v>101</v>
      </c>
      <c r="B3" s="229"/>
      <c r="C3" s="229"/>
      <c r="D3" s="229"/>
      <c r="E3" s="229"/>
      <c r="F3" s="229"/>
      <c r="G3" s="229"/>
    </row>
    <row r="4" spans="1:7">
      <c r="A4" s="105">
        <f t="shared" ref="A4" si="0">4271650-200000</f>
        <v>4071650</v>
      </c>
      <c r="B4" s="105">
        <f>4071650*1.11</f>
        <v>4519531.5</v>
      </c>
      <c r="C4" s="105">
        <f>B4*20.1%</f>
        <v>908425.83150000009</v>
      </c>
      <c r="D4" s="105">
        <f>B4-C4</f>
        <v>3611105.6684999997</v>
      </c>
      <c r="E4" s="105">
        <f>D4*9.9%</f>
        <v>357499.4611815</v>
      </c>
      <c r="F4" s="238">
        <f>B4-E4</f>
        <v>4162032.0388185</v>
      </c>
      <c r="G4" s="248">
        <f>F4-A4</f>
        <v>90382.038818500005</v>
      </c>
    </row>
    <row r="5" spans="1:7">
      <c r="A5" s="245" t="s">
        <v>121</v>
      </c>
      <c r="B5" s="244" t="s">
        <v>106</v>
      </c>
      <c r="C5" s="3" t="s">
        <v>109</v>
      </c>
      <c r="D5" s="243" t="s">
        <v>100</v>
      </c>
      <c r="E5" s="244" t="s">
        <v>111</v>
      </c>
      <c r="F5" s="3" t="s">
        <v>107</v>
      </c>
      <c r="G5" s="3" t="s">
        <v>108</v>
      </c>
    </row>
    <row r="6" spans="1:7">
      <c r="A6" s="249"/>
      <c r="B6" s="1"/>
      <c r="C6" s="1"/>
      <c r="D6" s="1"/>
      <c r="E6" s="1"/>
      <c r="F6" s="1"/>
      <c r="G6" s="1"/>
    </row>
    <row r="7" spans="1:7">
      <c r="A7" s="1"/>
      <c r="B7" s="1"/>
      <c r="C7" s="1"/>
      <c r="D7" s="1"/>
      <c r="E7" s="1"/>
      <c r="F7" s="1"/>
      <c r="G7" s="1"/>
    </row>
    <row r="8" spans="1:7">
      <c r="A8" s="105">
        <f t="shared" ref="A8" si="1">4271650-200000</f>
        <v>4071650</v>
      </c>
      <c r="B8" s="105">
        <f>4071650*1.11</f>
        <v>4519531.5</v>
      </c>
      <c r="C8" s="105">
        <f>B8*30.2%</f>
        <v>1364898.513</v>
      </c>
      <c r="D8" s="105">
        <f>B8-C8</f>
        <v>3154632.9869999997</v>
      </c>
      <c r="E8" s="105">
        <f>D8*9.2%</f>
        <v>290226.23480399995</v>
      </c>
      <c r="F8" s="238">
        <f>B8-E8</f>
        <v>4229305.2651960002</v>
      </c>
      <c r="G8" s="248">
        <f>F8-A8</f>
        <v>157655.26519600023</v>
      </c>
    </row>
    <row r="9" spans="1:7">
      <c r="A9" s="250" t="s">
        <v>121</v>
      </c>
      <c r="B9" s="251" t="s">
        <v>106</v>
      </c>
      <c r="C9" s="4" t="s">
        <v>110</v>
      </c>
      <c r="D9" s="252" t="s">
        <v>100</v>
      </c>
      <c r="E9" s="251" t="s">
        <v>112</v>
      </c>
      <c r="F9" s="4" t="s">
        <v>107</v>
      </c>
      <c r="G9" s="4" t="s">
        <v>108</v>
      </c>
    </row>
    <row r="10" spans="1:7">
      <c r="A10" s="1"/>
      <c r="B10" s="4"/>
      <c r="C10" s="4"/>
      <c r="D10" s="4"/>
      <c r="E10" s="4"/>
      <c r="F10" s="4"/>
      <c r="G10" s="4"/>
    </row>
    <row r="11" spans="1:7">
      <c r="A11" s="1"/>
      <c r="B11" s="1"/>
      <c r="C11" s="1"/>
      <c r="D11" s="1"/>
      <c r="E11" s="1"/>
      <c r="F11" s="1"/>
      <c r="G11" s="1"/>
    </row>
    <row r="12" spans="1:7">
      <c r="A12" s="105">
        <f t="shared" ref="A12" si="2">4271650-200000</f>
        <v>4071650</v>
      </c>
      <c r="B12" s="105">
        <f>4071650*1.11</f>
        <v>4519531.5</v>
      </c>
      <c r="C12" s="105">
        <f>B12*50.2%</f>
        <v>2268804.8130000001</v>
      </c>
      <c r="D12" s="105">
        <f>B12-C12</f>
        <v>2250726.6869999999</v>
      </c>
      <c r="E12" s="105">
        <f>D12*8.5%</f>
        <v>191311.76839500002</v>
      </c>
      <c r="F12" s="238">
        <f>B12-E12</f>
        <v>4328219.7316049999</v>
      </c>
      <c r="G12" s="248">
        <f>F12-A12</f>
        <v>256569.73160499986</v>
      </c>
    </row>
    <row r="13" spans="1:7" ht="16.5" customHeight="1">
      <c r="A13" s="250" t="s">
        <v>121</v>
      </c>
      <c r="B13" s="251" t="s">
        <v>106</v>
      </c>
      <c r="C13" s="4" t="s">
        <v>119</v>
      </c>
      <c r="D13" s="252" t="s">
        <v>100</v>
      </c>
      <c r="E13" s="251" t="s">
        <v>120</v>
      </c>
      <c r="F13" s="4" t="s">
        <v>107</v>
      </c>
      <c r="G13" s="4" t="s">
        <v>108</v>
      </c>
    </row>
    <row r="14" spans="1:7">
      <c r="A14" s="1"/>
      <c r="B14" s="1"/>
      <c r="C14" s="1"/>
      <c r="D14" s="1"/>
      <c r="E14" s="1"/>
      <c r="F14" s="1"/>
      <c r="G14" s="1"/>
    </row>
    <row r="15" spans="1:7">
      <c r="A15" s="1"/>
      <c r="B15" s="1"/>
      <c r="C15" s="1"/>
      <c r="D15" s="1"/>
      <c r="E15" s="1"/>
      <c r="F15" s="1"/>
      <c r="G15" s="1"/>
    </row>
    <row r="16" spans="1:7" ht="15.75">
      <c r="A16" s="247" t="s">
        <v>102</v>
      </c>
      <c r="B16" s="229"/>
      <c r="C16" s="229"/>
      <c r="D16" s="229"/>
      <c r="E16" s="229"/>
      <c r="F16" s="229"/>
      <c r="G16" s="229"/>
    </row>
    <row r="17" spans="1:7">
      <c r="A17" s="105">
        <f t="shared" ref="A17" si="3">4271650-200000</f>
        <v>4071650</v>
      </c>
      <c r="B17" s="105">
        <f>4071650*1.1</f>
        <v>4478815</v>
      </c>
      <c r="C17" s="105">
        <f>B17*20.01%</f>
        <v>896210.88150000013</v>
      </c>
      <c r="D17" s="105">
        <f>B17-C17</f>
        <v>3582604.1184999999</v>
      </c>
      <c r="E17" s="105">
        <f>D17*8.6%</f>
        <v>308103.95419099997</v>
      </c>
      <c r="F17" s="238">
        <f>B17-E17</f>
        <v>4170711.0458089998</v>
      </c>
      <c r="G17" s="248">
        <f>F17-A17</f>
        <v>99061.045808999799</v>
      </c>
    </row>
    <row r="18" spans="1:7">
      <c r="A18" s="250" t="s">
        <v>121</v>
      </c>
      <c r="B18" s="251" t="s">
        <v>115</v>
      </c>
      <c r="C18" s="4" t="s">
        <v>114</v>
      </c>
      <c r="D18" s="252" t="s">
        <v>100</v>
      </c>
      <c r="E18" s="251" t="s">
        <v>113</v>
      </c>
      <c r="F18" s="4" t="s">
        <v>107</v>
      </c>
      <c r="G18" s="4" t="s">
        <v>108</v>
      </c>
    </row>
    <row r="19" spans="1:7">
      <c r="A19" s="1"/>
      <c r="B19" s="1"/>
      <c r="C19" s="1"/>
      <c r="D19" s="1"/>
      <c r="E19" s="1"/>
      <c r="F19" s="1"/>
      <c r="G19" s="1"/>
    </row>
    <row r="20" spans="1:7">
      <c r="A20" s="1"/>
      <c r="B20" s="1"/>
      <c r="C20" s="1"/>
      <c r="D20" s="1"/>
      <c r="E20" s="1"/>
      <c r="F20" s="1"/>
      <c r="G20" s="1"/>
    </row>
    <row r="21" spans="1:7" ht="15.75">
      <c r="A21" s="247" t="s">
        <v>116</v>
      </c>
      <c r="B21" s="229"/>
      <c r="C21" s="229"/>
      <c r="D21" s="229"/>
      <c r="E21" s="229"/>
      <c r="F21" s="229"/>
      <c r="G21" s="229"/>
    </row>
    <row r="22" spans="1:7">
      <c r="A22" s="105">
        <v>5231586.7344000004</v>
      </c>
      <c r="B22" s="105">
        <f>A22*1.13</f>
        <v>5911693.0098719997</v>
      </c>
      <c r="C22" s="105">
        <f>B22*30.1%</f>
        <v>1779419.5959714719</v>
      </c>
      <c r="D22" s="105">
        <f>B22-C22</f>
        <v>4132273.4139005281</v>
      </c>
      <c r="E22" s="105">
        <f>D22*15.33%</f>
        <v>633477.51435095095</v>
      </c>
      <c r="F22" s="238">
        <f>B22-E22</f>
        <v>5278215.495521049</v>
      </c>
      <c r="G22" s="248">
        <f>F22-A22</f>
        <v>46628.761121048592</v>
      </c>
    </row>
    <row r="23" spans="1:7">
      <c r="A23" s="250" t="s">
        <v>121</v>
      </c>
      <c r="B23" s="251" t="s">
        <v>118</v>
      </c>
      <c r="C23" s="4" t="s">
        <v>117</v>
      </c>
      <c r="D23" s="252" t="s">
        <v>100</v>
      </c>
      <c r="E23" s="251" t="s">
        <v>122</v>
      </c>
      <c r="F23" s="4" t="s">
        <v>107</v>
      </c>
      <c r="G23" s="4" t="s">
        <v>108</v>
      </c>
    </row>
    <row r="26" spans="1:7">
      <c r="C26" s="34"/>
    </row>
    <row r="27" spans="1:7">
      <c r="C27" s="34"/>
    </row>
    <row r="28" spans="1:7">
      <c r="C28" s="34"/>
    </row>
    <row r="29" spans="1:7">
      <c r="C29" s="34"/>
    </row>
  </sheetData>
  <pageMargins left="0.31496062992125984" right="0.31496062992125984" top="0.35433070866141736" bottom="0.35433070866141736" header="0.31496062992125984" footer="0.31496062992125984"/>
  <pageSetup paperSize="9" scale="7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I13"/>
  <sheetViews>
    <sheetView workbookViewId="0">
      <selection activeCell="E19" sqref="E19"/>
    </sheetView>
  </sheetViews>
  <sheetFormatPr defaultColWidth="9" defaultRowHeight="15"/>
  <cols>
    <col min="1" max="1" width="39" customWidth="1"/>
    <col min="2" max="3" width="15.7109375" customWidth="1"/>
    <col min="4" max="4" width="17.5703125" customWidth="1"/>
    <col min="5" max="5" width="15.7109375" customWidth="1"/>
    <col min="6" max="7" width="18.42578125" customWidth="1"/>
    <col min="8" max="8" width="19" customWidth="1"/>
    <col min="9" max="10" width="15.7109375" customWidth="1"/>
    <col min="11" max="11" width="14" customWidth="1"/>
    <col min="13" max="13" width="44" customWidth="1"/>
  </cols>
  <sheetData>
    <row r="1" spans="1:9" s="1" customFormat="1" ht="19.5" thickBot="1">
      <c r="A1" s="163" t="s">
        <v>125</v>
      </c>
    </row>
    <row r="2" spans="1:9" ht="106.5" customHeight="1">
      <c r="A2" s="84" t="s">
        <v>0</v>
      </c>
      <c r="B2" s="85" t="s">
        <v>1</v>
      </c>
      <c r="C2" s="85" t="s">
        <v>2</v>
      </c>
      <c r="D2" s="85" t="s">
        <v>96</v>
      </c>
      <c r="E2" s="86" t="s">
        <v>20</v>
      </c>
      <c r="F2" s="86" t="s">
        <v>123</v>
      </c>
      <c r="G2" s="86" t="s">
        <v>124</v>
      </c>
      <c r="H2" s="87" t="s">
        <v>3</v>
      </c>
    </row>
    <row r="3" spans="1:9" ht="32.25" thickBot="1">
      <c r="A3" s="88" t="s">
        <v>4</v>
      </c>
      <c r="B3" s="89" t="s">
        <v>5</v>
      </c>
      <c r="C3" s="89" t="s">
        <v>6</v>
      </c>
      <c r="D3" s="122">
        <f>5215000+50000</f>
        <v>5265000</v>
      </c>
      <c r="E3" s="123">
        <f t="shared" ref="E3:E9" si="0">D3*0.95</f>
        <v>5001750</v>
      </c>
      <c r="F3" s="123">
        <f>D3*1.1</f>
        <v>5791500.0000000009</v>
      </c>
      <c r="G3" s="123">
        <f>D3*1.11</f>
        <v>5844150.0000000009</v>
      </c>
      <c r="H3" s="90" t="s">
        <v>7</v>
      </c>
      <c r="I3" s="57"/>
    </row>
    <row r="4" spans="1:9" ht="30">
      <c r="A4" s="91" t="s">
        <v>8</v>
      </c>
      <c r="B4" s="92" t="s">
        <v>9</v>
      </c>
      <c r="C4" s="92" t="s">
        <v>10</v>
      </c>
      <c r="D4" s="124">
        <f>7492500+50000</f>
        <v>7542500</v>
      </c>
      <c r="E4" s="125">
        <f t="shared" si="0"/>
        <v>7165375</v>
      </c>
      <c r="F4" s="125">
        <f t="shared" ref="F4:F13" si="1">D4*1.1</f>
        <v>8296750.0000000009</v>
      </c>
      <c r="G4" s="125">
        <f t="shared" ref="G4:G13" si="2">D4*1.11</f>
        <v>8372175.0000000009</v>
      </c>
      <c r="H4" s="93" t="s">
        <v>7</v>
      </c>
      <c r="I4" s="57"/>
    </row>
    <row r="5" spans="1:9" ht="30.75" thickBot="1">
      <c r="A5" s="94" t="s">
        <v>8</v>
      </c>
      <c r="B5" s="95" t="s">
        <v>9</v>
      </c>
      <c r="C5" s="95" t="s">
        <v>11</v>
      </c>
      <c r="D5" s="126">
        <f>7635000+50000</f>
        <v>7685000</v>
      </c>
      <c r="E5" s="127">
        <f t="shared" si="0"/>
        <v>7300750</v>
      </c>
      <c r="F5" s="127">
        <f t="shared" si="1"/>
        <v>8453500</v>
      </c>
      <c r="G5" s="127">
        <f t="shared" si="2"/>
        <v>8530350</v>
      </c>
      <c r="H5" s="96" t="s">
        <v>7</v>
      </c>
      <c r="I5" s="57"/>
    </row>
    <row r="6" spans="1:9" ht="15.75">
      <c r="A6" s="97" t="s">
        <v>12</v>
      </c>
      <c r="B6" s="92" t="s">
        <v>9</v>
      </c>
      <c r="C6" s="92" t="s">
        <v>10</v>
      </c>
      <c r="D6" s="124">
        <f>5925000+50000</f>
        <v>5975000</v>
      </c>
      <c r="E6" s="125">
        <f t="shared" si="0"/>
        <v>5676250</v>
      </c>
      <c r="F6" s="125">
        <f t="shared" si="1"/>
        <v>6572500.0000000009</v>
      </c>
      <c r="G6" s="125">
        <f t="shared" si="2"/>
        <v>6632250.0000000009</v>
      </c>
      <c r="H6" s="98" t="s">
        <v>13</v>
      </c>
      <c r="I6" s="57"/>
    </row>
    <row r="7" spans="1:9" ht="15.75">
      <c r="A7" s="99" t="s">
        <v>14</v>
      </c>
      <c r="B7" s="92" t="s">
        <v>9</v>
      </c>
      <c r="C7" s="100" t="s">
        <v>11</v>
      </c>
      <c r="D7" s="128">
        <f>6067500+50000</f>
        <v>6117500</v>
      </c>
      <c r="E7" s="129">
        <f t="shared" si="0"/>
        <v>5811625</v>
      </c>
      <c r="F7" s="129">
        <f t="shared" si="1"/>
        <v>6729250.0000000009</v>
      </c>
      <c r="G7" s="129">
        <f t="shared" si="2"/>
        <v>6790425.0000000009</v>
      </c>
      <c r="H7" s="101" t="s">
        <v>13</v>
      </c>
      <c r="I7" s="57"/>
    </row>
    <row r="8" spans="1:9" ht="15.75">
      <c r="A8" s="91" t="s">
        <v>15</v>
      </c>
      <c r="B8" s="92" t="s">
        <v>9</v>
      </c>
      <c r="C8" s="92" t="s">
        <v>10</v>
      </c>
      <c r="D8" s="124">
        <f>5925000+50000</f>
        <v>5975000</v>
      </c>
      <c r="E8" s="125">
        <f t="shared" si="0"/>
        <v>5676250</v>
      </c>
      <c r="F8" s="125">
        <f t="shared" si="1"/>
        <v>6572500.0000000009</v>
      </c>
      <c r="G8" s="125">
        <f t="shared" si="2"/>
        <v>6632250.0000000009</v>
      </c>
      <c r="H8" s="93" t="s">
        <v>13</v>
      </c>
      <c r="I8" s="57"/>
    </row>
    <row r="9" spans="1:9" ht="16.5" thickBot="1">
      <c r="A9" s="88" t="s">
        <v>15</v>
      </c>
      <c r="B9" s="89" t="s">
        <v>9</v>
      </c>
      <c r="C9" s="89" t="s">
        <v>11</v>
      </c>
      <c r="D9" s="130">
        <f>6067500+50000</f>
        <v>6117500</v>
      </c>
      <c r="E9" s="131">
        <f t="shared" si="0"/>
        <v>5811625</v>
      </c>
      <c r="F9" s="131">
        <f t="shared" si="1"/>
        <v>6729250.0000000009</v>
      </c>
      <c r="G9" s="131">
        <f t="shared" si="2"/>
        <v>6790425.0000000009</v>
      </c>
      <c r="H9" s="90" t="s">
        <v>13</v>
      </c>
      <c r="I9" s="57"/>
    </row>
    <row r="10" spans="1:9" ht="15.75" thickBot="1">
      <c r="D10" s="132"/>
      <c r="E10" s="132"/>
      <c r="F10" s="132">
        <f t="shared" si="1"/>
        <v>0</v>
      </c>
      <c r="G10" s="132">
        <f t="shared" si="2"/>
        <v>0</v>
      </c>
      <c r="H10" s="102"/>
    </row>
    <row r="11" spans="1:9" ht="36" customHeight="1">
      <c r="A11" s="97" t="s">
        <v>16</v>
      </c>
      <c r="B11" s="103" t="s">
        <v>5</v>
      </c>
      <c r="C11" s="103" t="s">
        <v>6</v>
      </c>
      <c r="D11" s="133">
        <f>5900000+50000</f>
        <v>5950000</v>
      </c>
      <c r="E11" s="134">
        <f>D11*0.95</f>
        <v>5652500</v>
      </c>
      <c r="F11" s="134">
        <f t="shared" si="1"/>
        <v>6545000.0000000009</v>
      </c>
      <c r="G11" s="134">
        <f t="shared" si="2"/>
        <v>6604500.0000000009</v>
      </c>
      <c r="H11" s="98" t="s">
        <v>17</v>
      </c>
    </row>
    <row r="12" spans="1:9" ht="36" customHeight="1">
      <c r="A12" s="91" t="s">
        <v>18</v>
      </c>
      <c r="B12" s="92" t="s">
        <v>5</v>
      </c>
      <c r="C12" s="92" t="s">
        <v>6</v>
      </c>
      <c r="D12" s="135">
        <f>5900000+50000</f>
        <v>5950000</v>
      </c>
      <c r="E12" s="136">
        <f>D12*0.95</f>
        <v>5652500</v>
      </c>
      <c r="F12" s="136">
        <f t="shared" si="1"/>
        <v>6545000.0000000009</v>
      </c>
      <c r="G12" s="136">
        <f t="shared" si="2"/>
        <v>6604500.0000000009</v>
      </c>
      <c r="H12" s="93" t="s">
        <v>17</v>
      </c>
    </row>
    <row r="13" spans="1:9" ht="36" customHeight="1" thickBot="1">
      <c r="A13" s="94" t="s">
        <v>19</v>
      </c>
      <c r="B13" s="95" t="s">
        <v>9</v>
      </c>
      <c r="C13" s="95" t="s">
        <v>11</v>
      </c>
      <c r="D13" s="126">
        <f>8407500+50000</f>
        <v>8457500</v>
      </c>
      <c r="E13" s="127">
        <f>D13*0.95</f>
        <v>8034625</v>
      </c>
      <c r="F13" s="127">
        <f t="shared" si="1"/>
        <v>9303250</v>
      </c>
      <c r="G13" s="127">
        <f t="shared" si="2"/>
        <v>9387825</v>
      </c>
      <c r="H13" s="96" t="s">
        <v>17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L123"/>
  <sheetViews>
    <sheetView topLeftCell="A88" zoomScale="90" zoomScaleNormal="90" workbookViewId="0">
      <selection activeCell="O106" sqref="O106"/>
    </sheetView>
  </sheetViews>
  <sheetFormatPr defaultColWidth="8.85546875" defaultRowHeight="15"/>
  <cols>
    <col min="1" max="1" width="45.7109375" customWidth="1"/>
    <col min="2" max="2" width="7.7109375" customWidth="1"/>
    <col min="3" max="3" width="11.7109375" customWidth="1"/>
    <col min="4" max="4" width="13.7109375" customWidth="1"/>
    <col min="5" max="5" width="13.140625" style="3" customWidth="1"/>
    <col min="6" max="6" width="12.42578125" customWidth="1"/>
    <col min="7" max="7" width="13.28515625" style="3" customWidth="1"/>
    <col min="8" max="8" width="13.140625" style="3" customWidth="1"/>
    <col min="9" max="9" width="13.28515625" style="3" customWidth="1"/>
    <col min="10" max="10" width="13.42578125" style="3" customWidth="1"/>
    <col min="11" max="11" width="28.28515625" style="3" customWidth="1"/>
    <col min="12" max="12" width="14.85546875" style="3" customWidth="1"/>
    <col min="13" max="13" width="11.42578125" customWidth="1"/>
    <col min="14" max="14" width="11.85546875" customWidth="1"/>
    <col min="15" max="15" width="10.140625" customWidth="1"/>
  </cols>
  <sheetData>
    <row r="1" spans="1:12" s="1" customFormat="1" ht="27.75" customHeight="1" thickBot="1">
      <c r="A1" s="164" t="s">
        <v>126</v>
      </c>
      <c r="E1" s="4"/>
      <c r="G1" s="4"/>
      <c r="H1" s="4"/>
      <c r="I1" s="4"/>
      <c r="J1" s="4"/>
      <c r="K1" s="4"/>
      <c r="L1" s="4"/>
    </row>
    <row r="2" spans="1:12" ht="45" customHeight="1" thickBot="1">
      <c r="A2" s="59" t="s">
        <v>21</v>
      </c>
      <c r="B2" s="60" t="s">
        <v>22</v>
      </c>
      <c r="C2" s="61" t="s">
        <v>23</v>
      </c>
      <c r="D2" s="60" t="s">
        <v>24</v>
      </c>
      <c r="E2" s="61" t="s">
        <v>25</v>
      </c>
      <c r="F2" s="60" t="s">
        <v>24</v>
      </c>
      <c r="G2" s="61" t="s">
        <v>26</v>
      </c>
      <c r="H2" s="60" t="s">
        <v>24</v>
      </c>
      <c r="I2" s="61" t="s">
        <v>27</v>
      </c>
      <c r="J2" s="60" t="s">
        <v>24</v>
      </c>
      <c r="K2" s="76" t="s">
        <v>28</v>
      </c>
      <c r="L2" s="77"/>
    </row>
    <row r="3" spans="1:12">
      <c r="A3" s="62" t="s">
        <v>29</v>
      </c>
      <c r="B3" s="63">
        <v>56.58</v>
      </c>
      <c r="C3" s="141">
        <f>D3/B3</f>
        <v>84977.5</v>
      </c>
      <c r="D3" s="142">
        <v>4808026.95</v>
      </c>
      <c r="E3" s="141">
        <f>F3/B3</f>
        <v>85452.5</v>
      </c>
      <c r="F3" s="142">
        <v>4834902.45</v>
      </c>
      <c r="G3" s="141">
        <f>H3/B3</f>
        <v>85927.5</v>
      </c>
      <c r="H3" s="142">
        <v>4861777.95</v>
      </c>
      <c r="I3" s="141">
        <f>J3/B3</f>
        <v>85452.5</v>
      </c>
      <c r="J3" s="142">
        <v>4834902.45</v>
      </c>
      <c r="K3" s="15" t="s">
        <v>30</v>
      </c>
      <c r="L3" s="78"/>
    </row>
    <row r="4" spans="1:12" ht="15.75" thickBot="1">
      <c r="A4" s="62" t="s">
        <v>29</v>
      </c>
      <c r="B4" s="64">
        <v>58.22</v>
      </c>
      <c r="C4" s="141">
        <f t="shared" ref="C4:C30" si="0">D4/B4</f>
        <v>84550</v>
      </c>
      <c r="D4" s="143">
        <v>4922501</v>
      </c>
      <c r="E4" s="144">
        <f t="shared" ref="E4:E30" si="1">F4/B4</f>
        <v>85025</v>
      </c>
      <c r="F4" s="143">
        <v>4950155.5</v>
      </c>
      <c r="G4" s="144">
        <f t="shared" ref="G4:G30" si="2">H4/B4</f>
        <v>85500</v>
      </c>
      <c r="H4" s="143">
        <v>4977810</v>
      </c>
      <c r="I4" s="144">
        <f t="shared" ref="I4:I30" si="3">J4/B4</f>
        <v>85025</v>
      </c>
      <c r="J4" s="143">
        <v>4950155.5</v>
      </c>
      <c r="K4" s="79" t="s">
        <v>30</v>
      </c>
      <c r="L4" s="78"/>
    </row>
    <row r="5" spans="1:12">
      <c r="A5" s="65" t="s">
        <v>31</v>
      </c>
      <c r="B5" s="66">
        <v>21.6</v>
      </c>
      <c r="C5" s="145">
        <f t="shared" si="0"/>
        <v>124268.55</v>
      </c>
      <c r="D5" s="146">
        <v>2684200.6800000002</v>
      </c>
      <c r="E5" s="145">
        <f t="shared" si="1"/>
        <v>124743.55</v>
      </c>
      <c r="F5" s="146">
        <v>2694460.68</v>
      </c>
      <c r="G5" s="145">
        <f t="shared" si="2"/>
        <v>125218.55</v>
      </c>
      <c r="H5" s="146">
        <v>2704720.68</v>
      </c>
      <c r="I5" s="145">
        <f t="shared" si="3"/>
        <v>124743.55</v>
      </c>
      <c r="J5" s="146">
        <v>2694460.68</v>
      </c>
      <c r="K5" s="80" t="s">
        <v>30</v>
      </c>
      <c r="L5" s="78"/>
    </row>
    <row r="6" spans="1:12">
      <c r="A6" s="67" t="s">
        <v>32</v>
      </c>
      <c r="B6" s="63">
        <v>37.549999999999997</v>
      </c>
      <c r="C6" s="147">
        <f t="shared" si="0"/>
        <v>97689.450000000012</v>
      </c>
      <c r="D6" s="148">
        <v>3668238.8475000001</v>
      </c>
      <c r="E6" s="147">
        <f t="shared" si="1"/>
        <v>98164.450000000012</v>
      </c>
      <c r="F6" s="148">
        <v>3686075.0975000001</v>
      </c>
      <c r="G6" s="147">
        <f t="shared" si="2"/>
        <v>98639.450000000012</v>
      </c>
      <c r="H6" s="148">
        <v>3703911.3475000001</v>
      </c>
      <c r="I6" s="147">
        <f t="shared" si="3"/>
        <v>98164.450000000012</v>
      </c>
      <c r="J6" s="148">
        <v>3686075.0975000001</v>
      </c>
      <c r="K6" s="15" t="s">
        <v>30</v>
      </c>
      <c r="L6" s="78"/>
    </row>
    <row r="7" spans="1:12">
      <c r="A7" s="62" t="s">
        <v>33</v>
      </c>
      <c r="B7" s="63">
        <v>56.58</v>
      </c>
      <c r="C7" s="141">
        <f t="shared" si="0"/>
        <v>84977.5</v>
      </c>
      <c r="D7" s="142">
        <v>4808026.95</v>
      </c>
      <c r="E7" s="141">
        <f t="shared" si="1"/>
        <v>85452.5</v>
      </c>
      <c r="F7" s="142">
        <v>4834902.45</v>
      </c>
      <c r="G7" s="141">
        <f t="shared" si="2"/>
        <v>85927.5</v>
      </c>
      <c r="H7" s="142">
        <v>4861777.95</v>
      </c>
      <c r="I7" s="141">
        <f t="shared" si="3"/>
        <v>85452.5</v>
      </c>
      <c r="J7" s="142">
        <v>4834902.45</v>
      </c>
      <c r="K7" s="15" t="s">
        <v>30</v>
      </c>
      <c r="L7" s="78"/>
    </row>
    <row r="8" spans="1:12" ht="15.75" thickBot="1">
      <c r="A8" s="68" t="s">
        <v>34</v>
      </c>
      <c r="B8" s="69">
        <v>58.22</v>
      </c>
      <c r="C8" s="149">
        <f t="shared" si="0"/>
        <v>84550</v>
      </c>
      <c r="D8" s="150">
        <v>4922501</v>
      </c>
      <c r="E8" s="149">
        <f t="shared" si="1"/>
        <v>85025</v>
      </c>
      <c r="F8" s="150">
        <v>4950155.5</v>
      </c>
      <c r="G8" s="149">
        <f t="shared" si="2"/>
        <v>85500</v>
      </c>
      <c r="H8" s="106">
        <v>4977810</v>
      </c>
      <c r="I8" s="144">
        <f t="shared" si="3"/>
        <v>85025</v>
      </c>
      <c r="J8" s="143">
        <v>4950155.5</v>
      </c>
      <c r="K8" s="79" t="s">
        <v>30</v>
      </c>
      <c r="L8" s="78"/>
    </row>
    <row r="9" spans="1:12">
      <c r="A9" s="65" t="s">
        <v>35</v>
      </c>
      <c r="B9" s="66">
        <v>21.6</v>
      </c>
      <c r="C9" s="145">
        <f t="shared" si="0"/>
        <v>124268.55</v>
      </c>
      <c r="D9" s="146">
        <v>2684200.6800000002</v>
      </c>
      <c r="E9" s="145">
        <f t="shared" si="1"/>
        <v>124743.55</v>
      </c>
      <c r="F9" s="146">
        <v>2694460.68</v>
      </c>
      <c r="G9" s="145">
        <f t="shared" si="2"/>
        <v>125218.55</v>
      </c>
      <c r="H9" s="146">
        <v>2704720.68</v>
      </c>
      <c r="I9" s="145">
        <f t="shared" si="3"/>
        <v>124743.55</v>
      </c>
      <c r="J9" s="146">
        <v>2694460.68</v>
      </c>
      <c r="K9" s="137" t="s">
        <v>30</v>
      </c>
      <c r="L9" s="78"/>
    </row>
    <row r="10" spans="1:12">
      <c r="A10" s="67" t="s">
        <v>36</v>
      </c>
      <c r="B10" s="63">
        <v>37.549999999999997</v>
      </c>
      <c r="C10" s="147">
        <f t="shared" si="0"/>
        <v>97689.450000000012</v>
      </c>
      <c r="D10" s="148">
        <v>3668238.8475000001</v>
      </c>
      <c r="E10" s="147">
        <f t="shared" si="1"/>
        <v>98164.450000000012</v>
      </c>
      <c r="F10" s="148">
        <v>3686075.0975000001</v>
      </c>
      <c r="G10" s="147">
        <f t="shared" si="2"/>
        <v>98639.450000000012</v>
      </c>
      <c r="H10" s="148">
        <v>3703911.3475000001</v>
      </c>
      <c r="I10" s="147">
        <f t="shared" si="3"/>
        <v>98164.450000000012</v>
      </c>
      <c r="J10" s="148">
        <v>3686075.0975000001</v>
      </c>
      <c r="K10" s="111" t="s">
        <v>30</v>
      </c>
      <c r="L10" s="78"/>
    </row>
    <row r="11" spans="1:12">
      <c r="A11" s="62" t="s">
        <v>37</v>
      </c>
      <c r="B11" s="63">
        <v>56.58</v>
      </c>
      <c r="C11" s="141">
        <f t="shared" si="0"/>
        <v>84977.5</v>
      </c>
      <c r="D11" s="142">
        <v>4808026.95</v>
      </c>
      <c r="E11" s="141">
        <f t="shared" si="1"/>
        <v>85452.5</v>
      </c>
      <c r="F11" s="142">
        <v>4834902.45</v>
      </c>
      <c r="G11" s="141">
        <f t="shared" si="2"/>
        <v>85927.5</v>
      </c>
      <c r="H11" s="142">
        <v>4861777.95</v>
      </c>
      <c r="I11" s="141">
        <f t="shared" si="3"/>
        <v>85452.5</v>
      </c>
      <c r="J11" s="142">
        <v>4834902.45</v>
      </c>
      <c r="K11" s="111" t="s">
        <v>30</v>
      </c>
      <c r="L11" s="78"/>
    </row>
    <row r="12" spans="1:12" ht="15.75" thickBot="1">
      <c r="A12" s="68" t="s">
        <v>38</v>
      </c>
      <c r="B12" s="69">
        <v>58.22</v>
      </c>
      <c r="C12" s="149">
        <f t="shared" si="0"/>
        <v>84550</v>
      </c>
      <c r="D12" s="150">
        <v>4922501</v>
      </c>
      <c r="E12" s="149">
        <f t="shared" si="1"/>
        <v>85025</v>
      </c>
      <c r="F12" s="150">
        <v>4950155.5</v>
      </c>
      <c r="G12" s="149">
        <f t="shared" si="2"/>
        <v>85500</v>
      </c>
      <c r="H12" s="106">
        <v>4977810</v>
      </c>
      <c r="I12" s="144">
        <f t="shared" si="3"/>
        <v>85025</v>
      </c>
      <c r="J12" s="143">
        <v>4950155.5</v>
      </c>
      <c r="K12" s="138" t="s">
        <v>30</v>
      </c>
      <c r="L12" s="78"/>
    </row>
    <row r="13" spans="1:12">
      <c r="A13" s="67" t="s">
        <v>39</v>
      </c>
      <c r="B13" s="70">
        <v>21.6</v>
      </c>
      <c r="C13" s="151">
        <f t="shared" si="0"/>
        <v>136261.35</v>
      </c>
      <c r="D13" s="152">
        <v>2943245.16</v>
      </c>
      <c r="E13" s="151">
        <f t="shared" si="1"/>
        <v>136736.35</v>
      </c>
      <c r="F13" s="152">
        <v>2953505.16</v>
      </c>
      <c r="G13" s="151">
        <f t="shared" si="2"/>
        <v>137211.35</v>
      </c>
      <c r="H13" s="152">
        <v>2963765.16</v>
      </c>
      <c r="I13" s="151">
        <f t="shared" si="3"/>
        <v>136736.35</v>
      </c>
      <c r="J13" s="152">
        <v>2953505.16</v>
      </c>
      <c r="K13" s="112" t="s">
        <v>30</v>
      </c>
      <c r="L13" s="78"/>
    </row>
    <row r="14" spans="1:12">
      <c r="A14" s="62" t="s">
        <v>41</v>
      </c>
      <c r="B14" s="63">
        <v>37.549999999999997</v>
      </c>
      <c r="C14" s="151">
        <f t="shared" si="0"/>
        <v>109568.25000000001</v>
      </c>
      <c r="D14" s="152">
        <v>4114287.7875000001</v>
      </c>
      <c r="E14" s="151">
        <f t="shared" si="1"/>
        <v>110043.25000000001</v>
      </c>
      <c r="F14" s="152">
        <v>4132124.0375000001</v>
      </c>
      <c r="G14" s="151">
        <f t="shared" si="2"/>
        <v>110518.25000000001</v>
      </c>
      <c r="H14" s="152">
        <v>4149960.2875000001</v>
      </c>
      <c r="I14" s="151">
        <f t="shared" si="3"/>
        <v>110043.25000000001</v>
      </c>
      <c r="J14" s="152">
        <v>4132124.0375000001</v>
      </c>
      <c r="K14" s="25" t="s">
        <v>40</v>
      </c>
      <c r="L14" s="81"/>
    </row>
    <row r="15" spans="1:12">
      <c r="A15" s="62" t="s">
        <v>42</v>
      </c>
      <c r="B15" s="63">
        <v>56.58</v>
      </c>
      <c r="C15" s="151">
        <f t="shared" si="0"/>
        <v>94575.35</v>
      </c>
      <c r="D15" s="152">
        <v>5351073.3030000003</v>
      </c>
      <c r="E15" s="151">
        <f t="shared" si="1"/>
        <v>95050.35</v>
      </c>
      <c r="F15" s="152">
        <v>5377948.8030000003</v>
      </c>
      <c r="G15" s="151">
        <f t="shared" si="2"/>
        <v>95525.35</v>
      </c>
      <c r="H15" s="152">
        <v>5404824.3030000003</v>
      </c>
      <c r="I15" s="151">
        <f t="shared" si="3"/>
        <v>95050.35</v>
      </c>
      <c r="J15" s="152">
        <v>5377948.8030000003</v>
      </c>
      <c r="K15" s="25" t="s">
        <v>40</v>
      </c>
      <c r="L15" s="78"/>
    </row>
    <row r="16" spans="1:12" ht="15.75" thickBot="1">
      <c r="A16" s="68" t="s">
        <v>42</v>
      </c>
      <c r="B16" s="69">
        <v>58.22</v>
      </c>
      <c r="C16" s="149">
        <f t="shared" si="0"/>
        <v>93935.049999999988</v>
      </c>
      <c r="D16" s="150">
        <v>5468898.6109999996</v>
      </c>
      <c r="E16" s="149">
        <f t="shared" si="1"/>
        <v>94885.049999999988</v>
      </c>
      <c r="F16" s="150">
        <v>5524207.6109999996</v>
      </c>
      <c r="G16" s="149">
        <f t="shared" si="2"/>
        <v>94885.049999999988</v>
      </c>
      <c r="H16" s="150">
        <v>5524207.6109999996</v>
      </c>
      <c r="I16" s="149">
        <f t="shared" si="3"/>
        <v>94410.049999999988</v>
      </c>
      <c r="J16" s="106">
        <v>5496553.1109999996</v>
      </c>
      <c r="K16" s="18" t="s">
        <v>40</v>
      </c>
      <c r="L16" s="78"/>
    </row>
    <row r="17" spans="1:12" ht="18.75" customHeight="1">
      <c r="A17" s="67" t="s">
        <v>43</v>
      </c>
      <c r="B17" s="70">
        <v>21.6</v>
      </c>
      <c r="C17" s="151">
        <f t="shared" si="0"/>
        <v>125517.79999999999</v>
      </c>
      <c r="D17" s="152">
        <v>2711184.48</v>
      </c>
      <c r="E17" s="151">
        <f t="shared" si="1"/>
        <v>125992.79999999999</v>
      </c>
      <c r="F17" s="152">
        <v>2721444.48</v>
      </c>
      <c r="G17" s="151">
        <f t="shared" si="2"/>
        <v>126467.79999999999</v>
      </c>
      <c r="H17" s="152">
        <v>2731704.48</v>
      </c>
      <c r="I17" s="151">
        <f t="shared" si="3"/>
        <v>125992.79999999999</v>
      </c>
      <c r="J17" s="152">
        <v>2721444.48</v>
      </c>
      <c r="K17" s="112" t="s">
        <v>30</v>
      </c>
      <c r="L17" s="78"/>
    </row>
    <row r="18" spans="1:12">
      <c r="A18" s="62" t="s">
        <v>44</v>
      </c>
      <c r="B18" s="63">
        <v>37.549999999999997</v>
      </c>
      <c r="C18" s="151">
        <f t="shared" si="0"/>
        <v>102750.1</v>
      </c>
      <c r="D18" s="152">
        <v>3858266.2549999999</v>
      </c>
      <c r="E18" s="151">
        <f t="shared" si="1"/>
        <v>103225.1</v>
      </c>
      <c r="F18" s="152">
        <v>3876102.5049999999</v>
      </c>
      <c r="G18" s="151">
        <f t="shared" si="2"/>
        <v>103700.1</v>
      </c>
      <c r="H18" s="152">
        <v>3893938.7549999999</v>
      </c>
      <c r="I18" s="151">
        <f t="shared" si="3"/>
        <v>103225.1</v>
      </c>
      <c r="J18" s="152">
        <v>3876102.5049999999</v>
      </c>
      <c r="K18" s="112" t="s">
        <v>30</v>
      </c>
      <c r="L18" s="78"/>
    </row>
    <row r="19" spans="1:12">
      <c r="A19" s="62" t="s">
        <v>45</v>
      </c>
      <c r="B19" s="63">
        <v>56.58</v>
      </c>
      <c r="C19" s="151">
        <f t="shared" si="0"/>
        <v>90030.55</v>
      </c>
      <c r="D19" s="152">
        <v>5093928.5190000003</v>
      </c>
      <c r="E19" s="151">
        <f t="shared" si="1"/>
        <v>90505.55</v>
      </c>
      <c r="F19" s="152">
        <v>5120804.0190000003</v>
      </c>
      <c r="G19" s="151">
        <f t="shared" si="2"/>
        <v>90980.55</v>
      </c>
      <c r="H19" s="152">
        <v>5147679.5190000003</v>
      </c>
      <c r="I19" s="151">
        <f t="shared" si="3"/>
        <v>90505.55</v>
      </c>
      <c r="J19" s="152">
        <v>5120804.0190000003</v>
      </c>
      <c r="K19" s="112" t="s">
        <v>30</v>
      </c>
      <c r="L19" s="78"/>
    </row>
    <row r="20" spans="1:12" ht="15.75" thickBot="1">
      <c r="A20" s="68" t="s">
        <v>45</v>
      </c>
      <c r="B20" s="69">
        <v>58.22</v>
      </c>
      <c r="C20" s="149">
        <f t="shared" si="0"/>
        <v>89484.3</v>
      </c>
      <c r="D20" s="150">
        <v>5209775.9460000005</v>
      </c>
      <c r="E20" s="149">
        <f t="shared" si="1"/>
        <v>89959.3</v>
      </c>
      <c r="F20" s="150">
        <v>5237430.4460000005</v>
      </c>
      <c r="G20" s="149">
        <f t="shared" si="2"/>
        <v>90434.3</v>
      </c>
      <c r="H20" s="150">
        <v>5265084.9460000005</v>
      </c>
      <c r="I20" s="149">
        <f t="shared" si="3"/>
        <v>89959.3</v>
      </c>
      <c r="J20" s="106">
        <v>5237430.4460000005</v>
      </c>
      <c r="K20" s="113" t="s">
        <v>30</v>
      </c>
      <c r="L20" s="78"/>
    </row>
    <row r="21" spans="1:12">
      <c r="A21" s="67" t="s">
        <v>46</v>
      </c>
      <c r="B21" s="70">
        <v>21.6</v>
      </c>
      <c r="C21" s="151">
        <f t="shared" si="0"/>
        <v>125517.79999999999</v>
      </c>
      <c r="D21" s="152">
        <v>2711184.48</v>
      </c>
      <c r="E21" s="151">
        <f t="shared" si="1"/>
        <v>125992.79999999999</v>
      </c>
      <c r="F21" s="152">
        <v>2721444.48</v>
      </c>
      <c r="G21" s="151">
        <f t="shared" si="2"/>
        <v>126467.79999999999</v>
      </c>
      <c r="H21" s="152">
        <v>2731704.48</v>
      </c>
      <c r="I21" s="151">
        <f t="shared" si="3"/>
        <v>125992.79999999999</v>
      </c>
      <c r="J21" s="152">
        <v>2721444.48</v>
      </c>
      <c r="K21" s="112" t="s">
        <v>30</v>
      </c>
      <c r="L21" s="78"/>
    </row>
    <row r="22" spans="1:12">
      <c r="A22" s="62" t="s">
        <v>47</v>
      </c>
      <c r="B22" s="63">
        <v>37.549999999999997</v>
      </c>
      <c r="C22" s="151">
        <f t="shared" si="0"/>
        <v>107810.75000000001</v>
      </c>
      <c r="D22" s="152">
        <v>4048293.6625000001</v>
      </c>
      <c r="E22" s="151">
        <f t="shared" si="1"/>
        <v>108284.80000000002</v>
      </c>
      <c r="F22" s="152">
        <v>4066094.24</v>
      </c>
      <c r="G22" s="151">
        <f t="shared" si="2"/>
        <v>108759.80000000002</v>
      </c>
      <c r="H22" s="152">
        <v>4083930.49</v>
      </c>
      <c r="I22" s="151">
        <f t="shared" si="3"/>
        <v>108284.80000000002</v>
      </c>
      <c r="J22" s="152">
        <v>4066094.24</v>
      </c>
      <c r="K22" s="25" t="s">
        <v>48</v>
      </c>
      <c r="L22" s="81"/>
    </row>
    <row r="23" spans="1:12">
      <c r="A23" s="62" t="s">
        <v>49</v>
      </c>
      <c r="B23" s="63">
        <v>56.58</v>
      </c>
      <c r="C23" s="151">
        <f t="shared" si="0"/>
        <v>92532.85</v>
      </c>
      <c r="D23" s="152">
        <v>5235508.6529999999</v>
      </c>
      <c r="E23" s="151">
        <f t="shared" si="1"/>
        <v>93007.85</v>
      </c>
      <c r="F23" s="152">
        <v>5262384.1529999999</v>
      </c>
      <c r="G23" s="151">
        <f t="shared" si="2"/>
        <v>93482.85</v>
      </c>
      <c r="H23" s="152">
        <v>5289259.6529999999</v>
      </c>
      <c r="I23" s="151">
        <f t="shared" si="3"/>
        <v>93007.85</v>
      </c>
      <c r="J23" s="152">
        <v>5262384.1529999999</v>
      </c>
      <c r="K23" s="25" t="s">
        <v>48</v>
      </c>
      <c r="L23" s="78"/>
    </row>
    <row r="24" spans="1:12" ht="16.5" customHeight="1" thickBot="1">
      <c r="A24" s="68" t="s">
        <v>49</v>
      </c>
      <c r="B24" s="69">
        <v>58.22</v>
      </c>
      <c r="C24" s="149">
        <f t="shared" si="0"/>
        <v>91892.55</v>
      </c>
      <c r="D24" s="150">
        <v>5349984.2609999999</v>
      </c>
      <c r="E24" s="149">
        <f t="shared" si="1"/>
        <v>92367.55</v>
      </c>
      <c r="F24" s="150">
        <v>5377638.7609999999</v>
      </c>
      <c r="G24" s="149">
        <f t="shared" si="2"/>
        <v>92842.55</v>
      </c>
      <c r="H24" s="150">
        <v>5405293.2609999999</v>
      </c>
      <c r="I24" s="149">
        <f t="shared" si="3"/>
        <v>92367.55</v>
      </c>
      <c r="J24" s="106">
        <v>5377638.7609999999</v>
      </c>
      <c r="K24" s="18" t="s">
        <v>48</v>
      </c>
      <c r="L24" s="78"/>
    </row>
    <row r="25" spans="1:12">
      <c r="A25" s="67" t="s">
        <v>50</v>
      </c>
      <c r="B25" s="71">
        <v>21.6</v>
      </c>
      <c r="C25" s="153">
        <f t="shared" si="0"/>
        <v>134313.85</v>
      </c>
      <c r="D25" s="154">
        <v>2901179.16</v>
      </c>
      <c r="E25" s="153">
        <f t="shared" si="1"/>
        <v>134788.85</v>
      </c>
      <c r="F25" s="154">
        <v>2911439.16</v>
      </c>
      <c r="G25" s="145">
        <f t="shared" si="2"/>
        <v>135263.85</v>
      </c>
      <c r="H25" s="152">
        <v>2921699.16</v>
      </c>
      <c r="I25" s="153">
        <f t="shared" si="3"/>
        <v>134788.85</v>
      </c>
      <c r="J25" s="155">
        <v>2911439.16</v>
      </c>
      <c r="K25" s="82" t="s">
        <v>48</v>
      </c>
      <c r="L25" s="78"/>
    </row>
    <row r="26" spans="1:12">
      <c r="A26" s="62" t="s">
        <v>51</v>
      </c>
      <c r="B26" s="72">
        <v>37.549999999999997</v>
      </c>
      <c r="C26" s="156">
        <f t="shared" si="0"/>
        <v>107810.75000000001</v>
      </c>
      <c r="D26" s="154">
        <v>4048293.6625000001</v>
      </c>
      <c r="E26" s="156">
        <f t="shared" si="1"/>
        <v>108285.75000000001</v>
      </c>
      <c r="F26" s="154">
        <v>4066129.9125000001</v>
      </c>
      <c r="G26" s="151">
        <f t="shared" si="2"/>
        <v>108759.80000000002</v>
      </c>
      <c r="H26" s="152">
        <v>4083930.49</v>
      </c>
      <c r="I26" s="156">
        <f t="shared" si="3"/>
        <v>108284.80000000002</v>
      </c>
      <c r="J26" s="107">
        <v>4066094.24</v>
      </c>
      <c r="K26" s="82" t="s">
        <v>48</v>
      </c>
      <c r="L26" s="81"/>
    </row>
    <row r="27" spans="1:12">
      <c r="A27" s="62" t="s">
        <v>52</v>
      </c>
      <c r="B27" s="72">
        <v>56.58</v>
      </c>
      <c r="C27" s="156">
        <f t="shared" si="0"/>
        <v>92532.85</v>
      </c>
      <c r="D27" s="154">
        <v>5235508.6529999999</v>
      </c>
      <c r="E27" s="156">
        <f t="shared" si="1"/>
        <v>93007.85</v>
      </c>
      <c r="F27" s="154">
        <v>5262384.1529999999</v>
      </c>
      <c r="G27" s="151">
        <f t="shared" si="2"/>
        <v>93482.85</v>
      </c>
      <c r="H27" s="152">
        <v>5289259.6529999999</v>
      </c>
      <c r="I27" s="156">
        <f t="shared" si="3"/>
        <v>93007.85</v>
      </c>
      <c r="J27" s="107">
        <v>5262384.1529999999</v>
      </c>
      <c r="K27" s="82" t="s">
        <v>48</v>
      </c>
      <c r="L27" s="78"/>
    </row>
    <row r="28" spans="1:12" ht="15.75" thickBot="1">
      <c r="A28" s="68" t="s">
        <v>52</v>
      </c>
      <c r="B28" s="73">
        <v>58.22</v>
      </c>
      <c r="C28" s="157">
        <f t="shared" si="0"/>
        <v>91892.55</v>
      </c>
      <c r="D28" s="158">
        <v>5349984.2609999999</v>
      </c>
      <c r="E28" s="157">
        <f t="shared" si="1"/>
        <v>92367.55</v>
      </c>
      <c r="F28" s="158">
        <v>5377638.7609999999</v>
      </c>
      <c r="G28" s="149">
        <f t="shared" si="2"/>
        <v>92842.55</v>
      </c>
      <c r="H28" s="150">
        <v>5405293.2609999999</v>
      </c>
      <c r="I28" s="157">
        <f t="shared" si="3"/>
        <v>92367.55</v>
      </c>
      <c r="J28" s="106">
        <v>5377638.7609999999</v>
      </c>
      <c r="K28" s="83" t="s">
        <v>48</v>
      </c>
      <c r="L28" s="78"/>
    </row>
    <row r="29" spans="1:12">
      <c r="A29" s="62" t="s">
        <v>53</v>
      </c>
      <c r="B29" s="74">
        <v>35.67</v>
      </c>
      <c r="C29" s="153">
        <f t="shared" si="0"/>
        <v>99864.95</v>
      </c>
      <c r="D29" s="159">
        <v>3562182.7664999999</v>
      </c>
      <c r="E29" s="153">
        <f t="shared" si="1"/>
        <v>100339.95</v>
      </c>
      <c r="F29" s="159">
        <v>3579126.0164999999</v>
      </c>
      <c r="G29" s="145">
        <f t="shared" si="2"/>
        <v>100814.95</v>
      </c>
      <c r="H29" s="155">
        <v>3596069.2664999999</v>
      </c>
      <c r="I29" s="153">
        <f t="shared" si="3"/>
        <v>100339.95</v>
      </c>
      <c r="J29" s="155">
        <v>3579126.0164999999</v>
      </c>
      <c r="K29" s="139" t="s">
        <v>30</v>
      </c>
      <c r="L29" s="78"/>
    </row>
    <row r="30" spans="1:12" ht="15.75" thickBot="1">
      <c r="A30" s="68" t="s">
        <v>53</v>
      </c>
      <c r="B30" s="75">
        <v>37.090000000000003</v>
      </c>
      <c r="C30" s="160">
        <f t="shared" si="0"/>
        <v>99067.89999999998</v>
      </c>
      <c r="D30" s="161">
        <v>3674428.4109999998</v>
      </c>
      <c r="E30" s="160">
        <f t="shared" si="1"/>
        <v>99542.89999999998</v>
      </c>
      <c r="F30" s="161">
        <v>3692046.1609999998</v>
      </c>
      <c r="G30" s="144">
        <f t="shared" si="2"/>
        <v>100017.89999999998</v>
      </c>
      <c r="H30" s="162">
        <v>3709663.9109999998</v>
      </c>
      <c r="I30" s="160">
        <f t="shared" si="3"/>
        <v>99542.89999999998</v>
      </c>
      <c r="J30" s="162">
        <v>3692046.1609999998</v>
      </c>
      <c r="K30" s="140" t="s">
        <v>30</v>
      </c>
      <c r="L30" s="78"/>
    </row>
    <row r="31" spans="1:12">
      <c r="D31" s="34"/>
    </row>
    <row r="32" spans="1:12" ht="19.5" thickBot="1">
      <c r="A32" s="164" t="s">
        <v>127</v>
      </c>
      <c r="B32" s="1"/>
      <c r="C32" s="1"/>
      <c r="D32" s="1"/>
      <c r="E32" s="4"/>
      <c r="F32" s="1"/>
      <c r="G32" s="4"/>
      <c r="H32" s="4"/>
      <c r="I32" s="4"/>
      <c r="J32" s="4"/>
      <c r="K32" s="4"/>
    </row>
    <row r="33" spans="1:11" ht="37.5" customHeight="1" thickBot="1">
      <c r="A33" s="59" t="s">
        <v>21</v>
      </c>
      <c r="B33" s="60" t="s">
        <v>22</v>
      </c>
      <c r="C33" s="61" t="s">
        <v>23</v>
      </c>
      <c r="D33" s="60" t="s">
        <v>24</v>
      </c>
      <c r="E33" s="61" t="s">
        <v>25</v>
      </c>
      <c r="F33" s="60" t="s">
        <v>24</v>
      </c>
      <c r="G33" s="61" t="s">
        <v>26</v>
      </c>
      <c r="H33" s="60" t="s">
        <v>24</v>
      </c>
      <c r="I33" s="61" t="s">
        <v>27</v>
      </c>
      <c r="J33" s="60" t="s">
        <v>24</v>
      </c>
      <c r="K33" s="76" t="s">
        <v>28</v>
      </c>
    </row>
    <row r="34" spans="1:11">
      <c r="A34" s="62" t="s">
        <v>29</v>
      </c>
      <c r="B34" s="63">
        <v>56.58</v>
      </c>
      <c r="C34" s="141">
        <f>D34/B34</f>
        <v>80728.625</v>
      </c>
      <c r="D34" s="142">
        <v>4567625.6025</v>
      </c>
      <c r="E34" s="141">
        <f>F34/B34</f>
        <v>81179.875</v>
      </c>
      <c r="F34" s="142">
        <v>4593157.3274999997</v>
      </c>
      <c r="G34" s="141">
        <f>H34/B34</f>
        <v>81631.125</v>
      </c>
      <c r="H34" s="142">
        <v>4618689.0525000002</v>
      </c>
      <c r="I34" s="141">
        <f>J34/B34</f>
        <v>81179.875</v>
      </c>
      <c r="J34" s="142">
        <v>4593157.3274999997</v>
      </c>
      <c r="K34" s="15" t="s">
        <v>30</v>
      </c>
    </row>
    <row r="35" spans="1:11" ht="15.75" thickBot="1">
      <c r="A35" s="62" t="s">
        <v>29</v>
      </c>
      <c r="B35" s="64">
        <v>58.22</v>
      </c>
      <c r="C35" s="141">
        <f t="shared" ref="C35:C61" si="4">D35/B35</f>
        <v>80322.5</v>
      </c>
      <c r="D35" s="143">
        <v>4676375.95</v>
      </c>
      <c r="E35" s="144">
        <f t="shared" ref="E35:E61" si="5">F35/B35</f>
        <v>80773.75</v>
      </c>
      <c r="F35" s="143">
        <v>4702647.7249999996</v>
      </c>
      <c r="G35" s="144">
        <f t="shared" ref="G35:G61" si="6">H35/B35</f>
        <v>81225</v>
      </c>
      <c r="H35" s="143">
        <v>4728919.5</v>
      </c>
      <c r="I35" s="144">
        <f t="shared" ref="I35:I61" si="7">J35/B35</f>
        <v>80773.75</v>
      </c>
      <c r="J35" s="143">
        <v>4702647.7249999996</v>
      </c>
      <c r="K35" s="79" t="s">
        <v>30</v>
      </c>
    </row>
    <row r="36" spans="1:11">
      <c r="A36" s="65" t="s">
        <v>31</v>
      </c>
      <c r="B36" s="66">
        <v>21.6</v>
      </c>
      <c r="C36" s="145">
        <f t="shared" si="4"/>
        <v>118055.1225</v>
      </c>
      <c r="D36" s="146">
        <v>2549990.6460000002</v>
      </c>
      <c r="E36" s="145">
        <f t="shared" si="5"/>
        <v>118506.3725</v>
      </c>
      <c r="F36" s="146">
        <v>2559737.6460000002</v>
      </c>
      <c r="G36" s="145">
        <f t="shared" si="6"/>
        <v>118957.6225</v>
      </c>
      <c r="H36" s="146">
        <v>2569484.6460000002</v>
      </c>
      <c r="I36" s="145">
        <f t="shared" si="7"/>
        <v>118506.3725</v>
      </c>
      <c r="J36" s="146">
        <v>2559737.6460000002</v>
      </c>
      <c r="K36" s="80" t="s">
        <v>30</v>
      </c>
    </row>
    <row r="37" spans="1:11">
      <c r="A37" s="67" t="s">
        <v>32</v>
      </c>
      <c r="B37" s="63">
        <v>37.549999999999997</v>
      </c>
      <c r="C37" s="147">
        <f t="shared" si="4"/>
        <v>92804.977500000008</v>
      </c>
      <c r="D37" s="148">
        <v>3484826.905125</v>
      </c>
      <c r="E37" s="147">
        <f t="shared" si="5"/>
        <v>93256.227500000008</v>
      </c>
      <c r="F37" s="148">
        <v>3501771.342625</v>
      </c>
      <c r="G37" s="147">
        <f t="shared" si="6"/>
        <v>93707.477500000008</v>
      </c>
      <c r="H37" s="148">
        <v>3518715.780125</v>
      </c>
      <c r="I37" s="147">
        <f t="shared" si="7"/>
        <v>93256.227500000008</v>
      </c>
      <c r="J37" s="148">
        <v>3501771.342625</v>
      </c>
      <c r="K37" s="15" t="s">
        <v>30</v>
      </c>
    </row>
    <row r="38" spans="1:11">
      <c r="A38" s="62" t="s">
        <v>33</v>
      </c>
      <c r="B38" s="63">
        <v>56.58</v>
      </c>
      <c r="C38" s="141">
        <f t="shared" si="4"/>
        <v>80728.625</v>
      </c>
      <c r="D38" s="142">
        <v>4567625.6025</v>
      </c>
      <c r="E38" s="141">
        <f t="shared" si="5"/>
        <v>81179.875</v>
      </c>
      <c r="F38" s="142">
        <v>4593157.3274999997</v>
      </c>
      <c r="G38" s="141">
        <f t="shared" si="6"/>
        <v>81631.125</v>
      </c>
      <c r="H38" s="142">
        <v>4618689.0525000002</v>
      </c>
      <c r="I38" s="141">
        <f t="shared" si="7"/>
        <v>81179.875</v>
      </c>
      <c r="J38" s="142">
        <v>4593157.3274999997</v>
      </c>
      <c r="K38" s="15" t="s">
        <v>30</v>
      </c>
    </row>
    <row r="39" spans="1:11" ht="15.75" thickBot="1">
      <c r="A39" s="68" t="s">
        <v>34</v>
      </c>
      <c r="B39" s="69">
        <v>58.22</v>
      </c>
      <c r="C39" s="149">
        <f t="shared" si="4"/>
        <v>80322.5</v>
      </c>
      <c r="D39" s="150">
        <v>4676375.95</v>
      </c>
      <c r="E39" s="149">
        <f t="shared" si="5"/>
        <v>80773.75</v>
      </c>
      <c r="F39" s="150">
        <v>4702647.7249999996</v>
      </c>
      <c r="G39" s="149">
        <f t="shared" si="6"/>
        <v>81225</v>
      </c>
      <c r="H39" s="106">
        <v>4728919.5</v>
      </c>
      <c r="I39" s="144">
        <f t="shared" si="7"/>
        <v>80773.75</v>
      </c>
      <c r="J39" s="143">
        <v>4702647.7249999996</v>
      </c>
      <c r="K39" s="79" t="s">
        <v>30</v>
      </c>
    </row>
    <row r="40" spans="1:11">
      <c r="A40" s="65" t="s">
        <v>35</v>
      </c>
      <c r="B40" s="66">
        <v>21.6</v>
      </c>
      <c r="C40" s="145">
        <f t="shared" si="4"/>
        <v>118055.1225</v>
      </c>
      <c r="D40" s="146">
        <v>2549990.6460000002</v>
      </c>
      <c r="E40" s="145">
        <f t="shared" si="5"/>
        <v>118506.3725</v>
      </c>
      <c r="F40" s="146">
        <v>2559737.6460000002</v>
      </c>
      <c r="G40" s="145">
        <f t="shared" si="6"/>
        <v>118957.6225</v>
      </c>
      <c r="H40" s="146">
        <v>2569484.6460000002</v>
      </c>
      <c r="I40" s="145">
        <f t="shared" si="7"/>
        <v>118506.3725</v>
      </c>
      <c r="J40" s="146">
        <v>2559737.6460000002</v>
      </c>
      <c r="K40" s="137" t="s">
        <v>30</v>
      </c>
    </row>
    <row r="41" spans="1:11">
      <c r="A41" s="67" t="s">
        <v>36</v>
      </c>
      <c r="B41" s="63">
        <v>37.549999999999997</v>
      </c>
      <c r="C41" s="147">
        <f t="shared" si="4"/>
        <v>92804.977500000008</v>
      </c>
      <c r="D41" s="148">
        <v>3484826.905125</v>
      </c>
      <c r="E41" s="147">
        <f t="shared" si="5"/>
        <v>93256.227500000008</v>
      </c>
      <c r="F41" s="148">
        <v>3501771.342625</v>
      </c>
      <c r="G41" s="147">
        <f t="shared" si="6"/>
        <v>93707.477500000008</v>
      </c>
      <c r="H41" s="148">
        <v>3518715.780125</v>
      </c>
      <c r="I41" s="147">
        <f t="shared" si="7"/>
        <v>93256.227500000008</v>
      </c>
      <c r="J41" s="148">
        <v>3501771.342625</v>
      </c>
      <c r="K41" s="111" t="s">
        <v>30</v>
      </c>
    </row>
    <row r="42" spans="1:11">
      <c r="A42" s="62" t="s">
        <v>37</v>
      </c>
      <c r="B42" s="63">
        <v>56.58</v>
      </c>
      <c r="C42" s="141">
        <f t="shared" si="4"/>
        <v>80728.625</v>
      </c>
      <c r="D42" s="142">
        <v>4567625.6025</v>
      </c>
      <c r="E42" s="141">
        <f t="shared" si="5"/>
        <v>81179.875</v>
      </c>
      <c r="F42" s="142">
        <v>4593157.3274999997</v>
      </c>
      <c r="G42" s="141">
        <f t="shared" si="6"/>
        <v>81631.125</v>
      </c>
      <c r="H42" s="142">
        <v>4618689.0525000002</v>
      </c>
      <c r="I42" s="141">
        <f t="shared" si="7"/>
        <v>81179.875</v>
      </c>
      <c r="J42" s="142">
        <v>4593157.3274999997</v>
      </c>
      <c r="K42" s="111" t="s">
        <v>30</v>
      </c>
    </row>
    <row r="43" spans="1:11" ht="15.75" thickBot="1">
      <c r="A43" s="68" t="s">
        <v>38</v>
      </c>
      <c r="B43" s="69">
        <v>58.22</v>
      </c>
      <c r="C43" s="149">
        <f t="shared" si="4"/>
        <v>80322.5</v>
      </c>
      <c r="D43" s="150">
        <v>4676375.95</v>
      </c>
      <c r="E43" s="149">
        <f t="shared" si="5"/>
        <v>80773.75</v>
      </c>
      <c r="F43" s="150">
        <v>4702647.7249999996</v>
      </c>
      <c r="G43" s="149">
        <f t="shared" si="6"/>
        <v>81225</v>
      </c>
      <c r="H43" s="106">
        <v>4728919.5</v>
      </c>
      <c r="I43" s="144">
        <f t="shared" si="7"/>
        <v>80773.75</v>
      </c>
      <c r="J43" s="143">
        <v>4702647.7249999996</v>
      </c>
      <c r="K43" s="138" t="s">
        <v>30</v>
      </c>
    </row>
    <row r="44" spans="1:11">
      <c r="A44" s="67" t="s">
        <v>39</v>
      </c>
      <c r="B44" s="70">
        <v>21.6</v>
      </c>
      <c r="C44" s="151">
        <f t="shared" si="4"/>
        <v>129448.2825</v>
      </c>
      <c r="D44" s="152">
        <v>2796082.9020000002</v>
      </c>
      <c r="E44" s="151">
        <f t="shared" si="5"/>
        <v>129899.5325</v>
      </c>
      <c r="F44" s="152">
        <v>2805829.9020000002</v>
      </c>
      <c r="G44" s="151">
        <f t="shared" si="6"/>
        <v>130350.7825</v>
      </c>
      <c r="H44" s="152">
        <v>2815576.9020000002</v>
      </c>
      <c r="I44" s="151">
        <f t="shared" si="7"/>
        <v>129899.5325</v>
      </c>
      <c r="J44" s="152">
        <v>2805829.9020000002</v>
      </c>
      <c r="K44" s="112" t="s">
        <v>30</v>
      </c>
    </row>
    <row r="45" spans="1:11">
      <c r="A45" s="62" t="s">
        <v>41</v>
      </c>
      <c r="B45" s="63">
        <v>37.549999999999997</v>
      </c>
      <c r="C45" s="151">
        <f t="shared" si="4"/>
        <v>104089.83750000001</v>
      </c>
      <c r="D45" s="152">
        <v>3908573.3981249998</v>
      </c>
      <c r="E45" s="151">
        <f t="shared" si="5"/>
        <v>104541.08750000001</v>
      </c>
      <c r="F45" s="152">
        <v>3925517.8356249998</v>
      </c>
      <c r="G45" s="151">
        <f t="shared" si="6"/>
        <v>104992.33750000001</v>
      </c>
      <c r="H45" s="152">
        <v>3942462.2731249998</v>
      </c>
      <c r="I45" s="151">
        <f t="shared" si="7"/>
        <v>104541.08750000001</v>
      </c>
      <c r="J45" s="152">
        <v>3925517.8356249998</v>
      </c>
      <c r="K45" s="25" t="s">
        <v>40</v>
      </c>
    </row>
    <row r="46" spans="1:11">
      <c r="A46" s="62" t="s">
        <v>42</v>
      </c>
      <c r="B46" s="63">
        <v>56.58</v>
      </c>
      <c r="C46" s="151">
        <f t="shared" si="4"/>
        <v>89846.58249999999</v>
      </c>
      <c r="D46" s="152">
        <v>5083519.6378499996</v>
      </c>
      <c r="E46" s="151">
        <f t="shared" si="5"/>
        <v>90297.832500000004</v>
      </c>
      <c r="F46" s="152">
        <v>5109051.3628500002</v>
      </c>
      <c r="G46" s="151">
        <f t="shared" si="6"/>
        <v>90749.082500000004</v>
      </c>
      <c r="H46" s="152">
        <v>5134583.0878499998</v>
      </c>
      <c r="I46" s="151">
        <f t="shared" si="7"/>
        <v>90297.832500000004</v>
      </c>
      <c r="J46" s="152">
        <v>5109051.3628500002</v>
      </c>
      <c r="K46" s="25" t="s">
        <v>40</v>
      </c>
    </row>
    <row r="47" spans="1:11" ht="15.75" thickBot="1">
      <c r="A47" s="68" t="s">
        <v>42</v>
      </c>
      <c r="B47" s="69">
        <v>58.22</v>
      </c>
      <c r="C47" s="149">
        <f t="shared" si="4"/>
        <v>89238.297499999986</v>
      </c>
      <c r="D47" s="150">
        <v>5195453.6804499989</v>
      </c>
      <c r="E47" s="149">
        <f t="shared" si="5"/>
        <v>90140.797500000001</v>
      </c>
      <c r="F47" s="150">
        <v>5247997.2304499997</v>
      </c>
      <c r="G47" s="149">
        <f t="shared" si="6"/>
        <v>90140.797500000001</v>
      </c>
      <c r="H47" s="150">
        <v>5247997.2304499997</v>
      </c>
      <c r="I47" s="149">
        <f t="shared" si="7"/>
        <v>89689.547499999986</v>
      </c>
      <c r="J47" s="106">
        <v>5221725.4554499993</v>
      </c>
      <c r="K47" s="18" t="s">
        <v>40</v>
      </c>
    </row>
    <row r="48" spans="1:11">
      <c r="A48" s="67" t="s">
        <v>43</v>
      </c>
      <c r="B48" s="70">
        <v>21.6</v>
      </c>
      <c r="C48" s="151">
        <f t="shared" si="4"/>
        <v>119241.90999999999</v>
      </c>
      <c r="D48" s="152">
        <v>2575625.2560000001</v>
      </c>
      <c r="E48" s="151">
        <f t="shared" si="5"/>
        <v>119693.15999999999</v>
      </c>
      <c r="F48" s="152">
        <v>2585372.2560000001</v>
      </c>
      <c r="G48" s="151">
        <f t="shared" si="6"/>
        <v>120144.40999999999</v>
      </c>
      <c r="H48" s="152">
        <v>2595119.2560000001</v>
      </c>
      <c r="I48" s="151">
        <f t="shared" si="7"/>
        <v>119693.15999999999</v>
      </c>
      <c r="J48" s="152">
        <v>2585372.2560000001</v>
      </c>
      <c r="K48" s="112" t="s">
        <v>30</v>
      </c>
    </row>
    <row r="49" spans="1:11">
      <c r="A49" s="62" t="s">
        <v>44</v>
      </c>
      <c r="B49" s="63">
        <v>37.549999999999997</v>
      </c>
      <c r="C49" s="151">
        <f t="shared" si="4"/>
        <v>97612.595000000001</v>
      </c>
      <c r="D49" s="152">
        <v>3665352.9422499998</v>
      </c>
      <c r="E49" s="151">
        <f t="shared" si="5"/>
        <v>98063.845000000001</v>
      </c>
      <c r="F49" s="152">
        <v>3682297.3797499998</v>
      </c>
      <c r="G49" s="151">
        <f t="shared" si="6"/>
        <v>98515.095000000001</v>
      </c>
      <c r="H49" s="152">
        <v>3699241.8172499998</v>
      </c>
      <c r="I49" s="151">
        <f t="shared" si="7"/>
        <v>98063.845000000001</v>
      </c>
      <c r="J49" s="152">
        <v>3682297.3797499998</v>
      </c>
      <c r="K49" s="112" t="s">
        <v>30</v>
      </c>
    </row>
    <row r="50" spans="1:11">
      <c r="A50" s="62" t="s">
        <v>45</v>
      </c>
      <c r="B50" s="63">
        <v>56.58</v>
      </c>
      <c r="C50" s="151">
        <f t="shared" si="4"/>
        <v>85529.022500000006</v>
      </c>
      <c r="D50" s="152">
        <v>4839232.0930500003</v>
      </c>
      <c r="E50" s="151">
        <f t="shared" si="5"/>
        <v>85980.272500000006</v>
      </c>
      <c r="F50" s="152">
        <v>4864763.8180499999</v>
      </c>
      <c r="G50" s="151">
        <f t="shared" si="6"/>
        <v>86431.522500000006</v>
      </c>
      <c r="H50" s="152">
        <v>4890295.5430500004</v>
      </c>
      <c r="I50" s="151">
        <f t="shared" si="7"/>
        <v>85980.272500000006</v>
      </c>
      <c r="J50" s="152">
        <v>4864763.8180499999</v>
      </c>
      <c r="K50" s="112" t="s">
        <v>30</v>
      </c>
    </row>
    <row r="51" spans="1:11" ht="15.75" thickBot="1">
      <c r="A51" s="68" t="s">
        <v>45</v>
      </c>
      <c r="B51" s="69">
        <v>58.22</v>
      </c>
      <c r="C51" s="149">
        <f t="shared" si="4"/>
        <v>85010.084999999992</v>
      </c>
      <c r="D51" s="150">
        <v>4949287.1486999998</v>
      </c>
      <c r="E51" s="149">
        <f t="shared" si="5"/>
        <v>85461.335000000006</v>
      </c>
      <c r="F51" s="150">
        <v>4975558.9237000002</v>
      </c>
      <c r="G51" s="149">
        <f t="shared" si="6"/>
        <v>85912.585000000006</v>
      </c>
      <c r="H51" s="150">
        <v>5001830.6987000005</v>
      </c>
      <c r="I51" s="149">
        <f t="shared" si="7"/>
        <v>85461.335000000006</v>
      </c>
      <c r="J51" s="106">
        <v>4975558.9237000002</v>
      </c>
      <c r="K51" s="113" t="s">
        <v>30</v>
      </c>
    </row>
    <row r="52" spans="1:11">
      <c r="A52" s="67" t="s">
        <v>46</v>
      </c>
      <c r="B52" s="70">
        <v>21.6</v>
      </c>
      <c r="C52" s="151">
        <f t="shared" si="4"/>
        <v>119241.90999999999</v>
      </c>
      <c r="D52" s="152">
        <v>2575625.2560000001</v>
      </c>
      <c r="E52" s="151">
        <f t="shared" si="5"/>
        <v>119693.15999999999</v>
      </c>
      <c r="F52" s="152">
        <v>2585372.2560000001</v>
      </c>
      <c r="G52" s="151">
        <f t="shared" si="6"/>
        <v>120144.40999999999</v>
      </c>
      <c r="H52" s="152">
        <v>2595119.2560000001</v>
      </c>
      <c r="I52" s="151">
        <f t="shared" si="7"/>
        <v>119693.15999999999</v>
      </c>
      <c r="J52" s="152">
        <v>2585372.2560000001</v>
      </c>
      <c r="K52" s="112" t="s">
        <v>30</v>
      </c>
    </row>
    <row r="53" spans="1:11">
      <c r="A53" s="62" t="s">
        <v>47</v>
      </c>
      <c r="B53" s="63">
        <v>37.549999999999997</v>
      </c>
      <c r="C53" s="151">
        <f t="shared" si="4"/>
        <v>102420.21250000001</v>
      </c>
      <c r="D53" s="152">
        <v>3845878.9793750001</v>
      </c>
      <c r="E53" s="151">
        <f t="shared" si="5"/>
        <v>102870.56000000001</v>
      </c>
      <c r="F53" s="152">
        <v>3862789.5279999999</v>
      </c>
      <c r="G53" s="151">
        <f t="shared" si="6"/>
        <v>103321.81000000001</v>
      </c>
      <c r="H53" s="152">
        <v>3879733.9654999999</v>
      </c>
      <c r="I53" s="151">
        <f t="shared" si="7"/>
        <v>102870.56000000001</v>
      </c>
      <c r="J53" s="152">
        <v>3862789.5279999999</v>
      </c>
      <c r="K53" s="25" t="s">
        <v>48</v>
      </c>
    </row>
    <row r="54" spans="1:11">
      <c r="A54" s="62" t="s">
        <v>49</v>
      </c>
      <c r="B54" s="63">
        <v>56.58</v>
      </c>
      <c r="C54" s="151">
        <f t="shared" si="4"/>
        <v>87906.207500000004</v>
      </c>
      <c r="D54" s="152">
        <v>4973733.2203500001</v>
      </c>
      <c r="E54" s="151">
        <f t="shared" si="5"/>
        <v>88357.457500000004</v>
      </c>
      <c r="F54" s="152">
        <v>4999264.9453499997</v>
      </c>
      <c r="G54" s="151">
        <f t="shared" si="6"/>
        <v>88808.70749999999</v>
      </c>
      <c r="H54" s="152">
        <v>5024796.6703499993</v>
      </c>
      <c r="I54" s="151">
        <f t="shared" si="7"/>
        <v>88357.457500000004</v>
      </c>
      <c r="J54" s="152">
        <v>4999264.9453499997</v>
      </c>
      <c r="K54" s="25" t="s">
        <v>48</v>
      </c>
    </row>
    <row r="55" spans="1:11" ht="15.75" thickBot="1">
      <c r="A55" s="68" t="s">
        <v>49</v>
      </c>
      <c r="B55" s="69">
        <v>58.22</v>
      </c>
      <c r="C55" s="149">
        <f t="shared" si="4"/>
        <v>87297.922500000001</v>
      </c>
      <c r="D55" s="150">
        <v>5082485.0479499996</v>
      </c>
      <c r="E55" s="149">
        <f t="shared" si="5"/>
        <v>87749.172500000001</v>
      </c>
      <c r="F55" s="150">
        <v>5108756.8229499999</v>
      </c>
      <c r="G55" s="149">
        <f t="shared" si="6"/>
        <v>88200.422499999986</v>
      </c>
      <c r="H55" s="150">
        <v>5135028.5979499994</v>
      </c>
      <c r="I55" s="149">
        <f t="shared" si="7"/>
        <v>87749.172500000001</v>
      </c>
      <c r="J55" s="106">
        <v>5108756.8229499999</v>
      </c>
      <c r="K55" s="18" t="s">
        <v>48</v>
      </c>
    </row>
    <row r="56" spans="1:11">
      <c r="A56" s="67" t="s">
        <v>50</v>
      </c>
      <c r="B56" s="71">
        <v>21.6</v>
      </c>
      <c r="C56" s="153">
        <f t="shared" si="4"/>
        <v>127598.15749999999</v>
      </c>
      <c r="D56" s="154">
        <v>2756120.202</v>
      </c>
      <c r="E56" s="153">
        <f t="shared" si="5"/>
        <v>128049.40749999999</v>
      </c>
      <c r="F56" s="154">
        <v>2765867.202</v>
      </c>
      <c r="G56" s="145">
        <f t="shared" si="6"/>
        <v>128500.65749999999</v>
      </c>
      <c r="H56" s="152">
        <v>2775614.202</v>
      </c>
      <c r="I56" s="153">
        <f t="shared" si="7"/>
        <v>128049.40749999999</v>
      </c>
      <c r="J56" s="155">
        <v>2765867.202</v>
      </c>
      <c r="K56" s="82" t="s">
        <v>48</v>
      </c>
    </row>
    <row r="57" spans="1:11">
      <c r="A57" s="62" t="s">
        <v>51</v>
      </c>
      <c r="B57" s="72">
        <v>37.549999999999997</v>
      </c>
      <c r="C57" s="156">
        <f t="shared" si="4"/>
        <v>102420.21250000001</v>
      </c>
      <c r="D57" s="154">
        <v>3845878.9793750001</v>
      </c>
      <c r="E57" s="156">
        <f t="shared" si="5"/>
        <v>102871.46250000001</v>
      </c>
      <c r="F57" s="154">
        <v>3862823.4168750001</v>
      </c>
      <c r="G57" s="151">
        <f t="shared" si="6"/>
        <v>103321.81000000001</v>
      </c>
      <c r="H57" s="152">
        <v>3879733.9654999999</v>
      </c>
      <c r="I57" s="156">
        <f t="shared" si="7"/>
        <v>102870.56000000001</v>
      </c>
      <c r="J57" s="107">
        <v>3862789.5279999999</v>
      </c>
      <c r="K57" s="82" t="s">
        <v>48</v>
      </c>
    </row>
    <row r="58" spans="1:11">
      <c r="A58" s="62" t="s">
        <v>52</v>
      </c>
      <c r="B58" s="72">
        <v>56.58</v>
      </c>
      <c r="C58" s="156">
        <f t="shared" si="4"/>
        <v>87906.207500000004</v>
      </c>
      <c r="D58" s="154">
        <v>4973733.2203500001</v>
      </c>
      <c r="E58" s="156">
        <f t="shared" si="5"/>
        <v>88357.457500000004</v>
      </c>
      <c r="F58" s="154">
        <v>4999264.9453499997</v>
      </c>
      <c r="G58" s="151">
        <f t="shared" si="6"/>
        <v>88808.70749999999</v>
      </c>
      <c r="H58" s="152">
        <v>5024796.6703499993</v>
      </c>
      <c r="I58" s="156">
        <f t="shared" si="7"/>
        <v>88357.457500000004</v>
      </c>
      <c r="J58" s="107">
        <v>4999264.9453499997</v>
      </c>
      <c r="K58" s="82" t="s">
        <v>48</v>
      </c>
    </row>
    <row r="59" spans="1:11" ht="15.75" thickBot="1">
      <c r="A59" s="68" t="s">
        <v>52</v>
      </c>
      <c r="B59" s="73">
        <v>58.22</v>
      </c>
      <c r="C59" s="157">
        <f t="shared" si="4"/>
        <v>87297.922500000001</v>
      </c>
      <c r="D59" s="158">
        <v>5082485.0479499996</v>
      </c>
      <c r="E59" s="157">
        <f t="shared" si="5"/>
        <v>87749.172500000001</v>
      </c>
      <c r="F59" s="158">
        <v>5108756.8229499999</v>
      </c>
      <c r="G59" s="149">
        <f t="shared" si="6"/>
        <v>88200.422499999986</v>
      </c>
      <c r="H59" s="150">
        <v>5135028.5979499994</v>
      </c>
      <c r="I59" s="157">
        <f t="shared" si="7"/>
        <v>87749.172500000001</v>
      </c>
      <c r="J59" s="106">
        <v>5108756.8229499999</v>
      </c>
      <c r="K59" s="83" t="s">
        <v>48</v>
      </c>
    </row>
    <row r="60" spans="1:11">
      <c r="A60" s="62" t="s">
        <v>53</v>
      </c>
      <c r="B60" s="74">
        <v>35.67</v>
      </c>
      <c r="C60" s="153">
        <f t="shared" si="4"/>
        <v>94871.702499999985</v>
      </c>
      <c r="D60" s="159">
        <v>3384073.6281749997</v>
      </c>
      <c r="E60" s="153">
        <f t="shared" si="5"/>
        <v>95322.952499999985</v>
      </c>
      <c r="F60" s="159">
        <v>3400169.7156749996</v>
      </c>
      <c r="G60" s="145">
        <f t="shared" si="6"/>
        <v>95774.202499999985</v>
      </c>
      <c r="H60" s="155">
        <v>3416265.8031749995</v>
      </c>
      <c r="I60" s="153">
        <f t="shared" si="7"/>
        <v>95322.952499999985</v>
      </c>
      <c r="J60" s="155">
        <v>3400169.7156749996</v>
      </c>
      <c r="K60" s="139" t="s">
        <v>30</v>
      </c>
    </row>
    <row r="61" spans="1:11" ht="15.75" thickBot="1">
      <c r="A61" s="68" t="s">
        <v>53</v>
      </c>
      <c r="B61" s="75">
        <v>37.090000000000003</v>
      </c>
      <c r="C61" s="160">
        <f t="shared" si="4"/>
        <v>94114.504999999976</v>
      </c>
      <c r="D61" s="161">
        <v>3490706.9904499995</v>
      </c>
      <c r="E61" s="160">
        <f t="shared" si="5"/>
        <v>94565.75499999999</v>
      </c>
      <c r="F61" s="161">
        <v>3507443.8529499997</v>
      </c>
      <c r="G61" s="144">
        <f t="shared" si="6"/>
        <v>95017.004999999976</v>
      </c>
      <c r="H61" s="162">
        <v>3524180.7154499996</v>
      </c>
      <c r="I61" s="160">
        <f t="shared" si="7"/>
        <v>94565.75499999999</v>
      </c>
      <c r="J61" s="162">
        <v>3507443.8529499997</v>
      </c>
      <c r="K61" s="140" t="s">
        <v>30</v>
      </c>
    </row>
    <row r="63" spans="1:11" ht="19.5" thickBot="1">
      <c r="A63" s="164" t="s">
        <v>128</v>
      </c>
      <c r="B63" s="1"/>
      <c r="C63" s="1"/>
      <c r="D63" s="1"/>
      <c r="E63" s="4"/>
      <c r="F63" s="1"/>
      <c r="G63" s="4"/>
      <c r="H63" s="4"/>
      <c r="I63" s="4"/>
      <c r="J63" s="4"/>
      <c r="K63" s="4"/>
    </row>
    <row r="64" spans="1:11" ht="30.75" thickBot="1">
      <c r="A64" s="59" t="s">
        <v>21</v>
      </c>
      <c r="B64" s="60" t="s">
        <v>22</v>
      </c>
      <c r="C64" s="61" t="s">
        <v>23</v>
      </c>
      <c r="D64" s="60" t="s">
        <v>24</v>
      </c>
      <c r="E64" s="61" t="s">
        <v>25</v>
      </c>
      <c r="F64" s="60" t="s">
        <v>24</v>
      </c>
      <c r="G64" s="61" t="s">
        <v>26</v>
      </c>
      <c r="H64" s="60" t="s">
        <v>24</v>
      </c>
      <c r="I64" s="61" t="s">
        <v>27</v>
      </c>
      <c r="J64" s="60" t="s">
        <v>24</v>
      </c>
      <c r="K64" s="76" t="s">
        <v>28</v>
      </c>
    </row>
    <row r="65" spans="1:11">
      <c r="A65" s="62" t="s">
        <v>29</v>
      </c>
      <c r="B65" s="63">
        <v>56.58</v>
      </c>
      <c r="C65" s="141">
        <f>D65/B65</f>
        <v>93475.250000000015</v>
      </c>
      <c r="D65" s="142">
        <v>5288829.6450000005</v>
      </c>
      <c r="E65" s="141">
        <f>F65/B65</f>
        <v>93997.750000000015</v>
      </c>
      <c r="F65" s="142">
        <v>5318392.6950000003</v>
      </c>
      <c r="G65" s="141">
        <f>H65/B65</f>
        <v>94520.250000000015</v>
      </c>
      <c r="H65" s="142">
        <v>5347955.745000001</v>
      </c>
      <c r="I65" s="141">
        <f>J65/B65</f>
        <v>93997.750000000015</v>
      </c>
      <c r="J65" s="142">
        <v>5318392.6950000003</v>
      </c>
      <c r="K65" s="15" t="s">
        <v>30</v>
      </c>
    </row>
    <row r="66" spans="1:11" ht="15.75" thickBot="1">
      <c r="A66" s="62" t="s">
        <v>29</v>
      </c>
      <c r="B66" s="64">
        <v>58.22</v>
      </c>
      <c r="C66" s="141">
        <f t="shared" ref="C66:C92" si="8">D66/B66</f>
        <v>93005.000000000015</v>
      </c>
      <c r="D66" s="143">
        <v>5414751.1000000006</v>
      </c>
      <c r="E66" s="144">
        <f t="shared" ref="E66:E92" si="9">F66/B66</f>
        <v>93527.500000000015</v>
      </c>
      <c r="F66" s="143">
        <v>5445171.0500000007</v>
      </c>
      <c r="G66" s="144">
        <f t="shared" ref="G66:G92" si="10">H66/B66</f>
        <v>94050</v>
      </c>
      <c r="H66" s="143">
        <v>5475591</v>
      </c>
      <c r="I66" s="144">
        <f t="shared" ref="I66:I92" si="11">J66/B66</f>
        <v>93527.500000000015</v>
      </c>
      <c r="J66" s="143">
        <v>5445171.0500000007</v>
      </c>
      <c r="K66" s="79" t="s">
        <v>30</v>
      </c>
    </row>
    <row r="67" spans="1:11">
      <c r="A67" s="65" t="s">
        <v>31</v>
      </c>
      <c r="B67" s="66">
        <v>21.6</v>
      </c>
      <c r="C67" s="145">
        <f t="shared" si="8"/>
        <v>136695.40500000003</v>
      </c>
      <c r="D67" s="146">
        <v>2952620.7480000006</v>
      </c>
      <c r="E67" s="145">
        <f t="shared" si="9"/>
        <v>137217.90500000003</v>
      </c>
      <c r="F67" s="146">
        <v>2963906.7480000006</v>
      </c>
      <c r="G67" s="145">
        <f t="shared" si="10"/>
        <v>137740.40500000003</v>
      </c>
      <c r="H67" s="146">
        <v>2975192.7480000006</v>
      </c>
      <c r="I67" s="145">
        <f t="shared" si="11"/>
        <v>137217.90500000003</v>
      </c>
      <c r="J67" s="146">
        <v>2963906.7480000006</v>
      </c>
      <c r="K67" s="80" t="s">
        <v>30</v>
      </c>
    </row>
    <row r="68" spans="1:11">
      <c r="A68" s="67" t="s">
        <v>32</v>
      </c>
      <c r="B68" s="63">
        <v>37.549999999999997</v>
      </c>
      <c r="C68" s="147">
        <f t="shared" si="8"/>
        <v>107458.39500000002</v>
      </c>
      <c r="D68" s="148">
        <v>4035062.7322500004</v>
      </c>
      <c r="E68" s="147">
        <f t="shared" si="9"/>
        <v>107980.89500000002</v>
      </c>
      <c r="F68" s="148">
        <v>4054682.6072500004</v>
      </c>
      <c r="G68" s="147">
        <f t="shared" si="10"/>
        <v>108503.39500000002</v>
      </c>
      <c r="H68" s="148">
        <v>4074302.4822500004</v>
      </c>
      <c r="I68" s="147">
        <f t="shared" si="11"/>
        <v>107980.89500000002</v>
      </c>
      <c r="J68" s="148">
        <v>4054682.6072500004</v>
      </c>
      <c r="K68" s="15" t="s">
        <v>30</v>
      </c>
    </row>
    <row r="69" spans="1:11">
      <c r="A69" s="62" t="s">
        <v>33</v>
      </c>
      <c r="B69" s="63">
        <v>56.58</v>
      </c>
      <c r="C69" s="141">
        <f t="shared" si="8"/>
        <v>93475.250000000015</v>
      </c>
      <c r="D69" s="142">
        <v>5288829.6450000005</v>
      </c>
      <c r="E69" s="141">
        <f t="shared" si="9"/>
        <v>93997.750000000015</v>
      </c>
      <c r="F69" s="142">
        <v>5318392.6950000003</v>
      </c>
      <c r="G69" s="141">
        <f t="shared" si="10"/>
        <v>94520.250000000015</v>
      </c>
      <c r="H69" s="142">
        <v>5347955.745000001</v>
      </c>
      <c r="I69" s="141">
        <f t="shared" si="11"/>
        <v>93997.750000000015</v>
      </c>
      <c r="J69" s="142">
        <v>5318392.6950000003</v>
      </c>
      <c r="K69" s="15" t="s">
        <v>30</v>
      </c>
    </row>
    <row r="70" spans="1:11" ht="15.75" thickBot="1">
      <c r="A70" s="68" t="s">
        <v>34</v>
      </c>
      <c r="B70" s="69">
        <v>58.22</v>
      </c>
      <c r="C70" s="149">
        <f t="shared" si="8"/>
        <v>93005.000000000015</v>
      </c>
      <c r="D70" s="150">
        <v>5414751.1000000006</v>
      </c>
      <c r="E70" s="149">
        <f t="shared" si="9"/>
        <v>93527.500000000015</v>
      </c>
      <c r="F70" s="150">
        <v>5445171.0500000007</v>
      </c>
      <c r="G70" s="149">
        <f t="shared" si="10"/>
        <v>94050</v>
      </c>
      <c r="H70" s="106">
        <v>5475591</v>
      </c>
      <c r="I70" s="144">
        <f t="shared" si="11"/>
        <v>93527.500000000015</v>
      </c>
      <c r="J70" s="143">
        <v>5445171.0500000007</v>
      </c>
      <c r="K70" s="79" t="s">
        <v>30</v>
      </c>
    </row>
    <row r="71" spans="1:11">
      <c r="A71" s="65" t="s">
        <v>35</v>
      </c>
      <c r="B71" s="66">
        <v>21.6</v>
      </c>
      <c r="C71" s="145">
        <f t="shared" si="8"/>
        <v>136695.40500000003</v>
      </c>
      <c r="D71" s="146">
        <v>2952620.7480000006</v>
      </c>
      <c r="E71" s="145">
        <f t="shared" si="9"/>
        <v>137217.90500000003</v>
      </c>
      <c r="F71" s="146">
        <v>2963906.7480000006</v>
      </c>
      <c r="G71" s="145">
        <f t="shared" si="10"/>
        <v>137740.40500000003</v>
      </c>
      <c r="H71" s="146">
        <v>2975192.7480000006</v>
      </c>
      <c r="I71" s="145">
        <f t="shared" si="11"/>
        <v>137217.90500000003</v>
      </c>
      <c r="J71" s="146">
        <v>2963906.7480000006</v>
      </c>
      <c r="K71" s="137" t="s">
        <v>30</v>
      </c>
    </row>
    <row r="72" spans="1:11">
      <c r="A72" s="67" t="s">
        <v>36</v>
      </c>
      <c r="B72" s="63">
        <v>37.549999999999997</v>
      </c>
      <c r="C72" s="147">
        <f t="shared" si="8"/>
        <v>107458.39500000002</v>
      </c>
      <c r="D72" s="148">
        <v>4035062.7322500004</v>
      </c>
      <c r="E72" s="147">
        <f t="shared" si="9"/>
        <v>107980.89500000002</v>
      </c>
      <c r="F72" s="148">
        <v>4054682.6072500004</v>
      </c>
      <c r="G72" s="147">
        <f t="shared" si="10"/>
        <v>108503.39500000002</v>
      </c>
      <c r="H72" s="148">
        <v>4074302.4822500004</v>
      </c>
      <c r="I72" s="147">
        <f t="shared" si="11"/>
        <v>107980.89500000002</v>
      </c>
      <c r="J72" s="148">
        <v>4054682.6072500004</v>
      </c>
      <c r="K72" s="111" t="s">
        <v>30</v>
      </c>
    </row>
    <row r="73" spans="1:11">
      <c r="A73" s="62" t="s">
        <v>37</v>
      </c>
      <c r="B73" s="63">
        <v>56.58</v>
      </c>
      <c r="C73" s="141">
        <f t="shared" si="8"/>
        <v>93475.250000000015</v>
      </c>
      <c r="D73" s="142">
        <v>5288829.6450000005</v>
      </c>
      <c r="E73" s="141">
        <f t="shared" si="9"/>
        <v>93997.750000000015</v>
      </c>
      <c r="F73" s="142">
        <v>5318392.6950000003</v>
      </c>
      <c r="G73" s="141">
        <f t="shared" si="10"/>
        <v>94520.250000000015</v>
      </c>
      <c r="H73" s="142">
        <v>5347955.745000001</v>
      </c>
      <c r="I73" s="141">
        <f t="shared" si="11"/>
        <v>93997.750000000015</v>
      </c>
      <c r="J73" s="142">
        <v>5318392.6950000003</v>
      </c>
      <c r="K73" s="111" t="s">
        <v>30</v>
      </c>
    </row>
    <row r="74" spans="1:11" ht="15.75" thickBot="1">
      <c r="A74" s="68" t="s">
        <v>38</v>
      </c>
      <c r="B74" s="69">
        <v>58.22</v>
      </c>
      <c r="C74" s="149">
        <f t="shared" si="8"/>
        <v>93005.000000000015</v>
      </c>
      <c r="D74" s="150">
        <v>5414751.1000000006</v>
      </c>
      <c r="E74" s="149">
        <f t="shared" si="9"/>
        <v>93527.500000000015</v>
      </c>
      <c r="F74" s="150">
        <v>5445171.0500000007</v>
      </c>
      <c r="G74" s="149">
        <f t="shared" si="10"/>
        <v>94050</v>
      </c>
      <c r="H74" s="106">
        <v>5475591</v>
      </c>
      <c r="I74" s="144">
        <f t="shared" si="11"/>
        <v>93527.500000000015</v>
      </c>
      <c r="J74" s="143">
        <v>5445171.0500000007</v>
      </c>
      <c r="K74" s="138" t="s">
        <v>30</v>
      </c>
    </row>
    <row r="75" spans="1:11">
      <c r="A75" s="67" t="s">
        <v>39</v>
      </c>
      <c r="B75" s="70">
        <v>21.6</v>
      </c>
      <c r="C75" s="151">
        <f t="shared" si="8"/>
        <v>149887.48500000002</v>
      </c>
      <c r="D75" s="152">
        <v>3237569.6760000004</v>
      </c>
      <c r="E75" s="151">
        <f t="shared" si="9"/>
        <v>150409.98500000002</v>
      </c>
      <c r="F75" s="152">
        <v>3248855.6760000004</v>
      </c>
      <c r="G75" s="151">
        <f t="shared" si="10"/>
        <v>150932.48500000002</v>
      </c>
      <c r="H75" s="152">
        <v>3260141.6760000004</v>
      </c>
      <c r="I75" s="151">
        <f t="shared" si="11"/>
        <v>150409.98500000002</v>
      </c>
      <c r="J75" s="152">
        <v>3248855.6760000004</v>
      </c>
      <c r="K75" s="112" t="s">
        <v>30</v>
      </c>
    </row>
    <row r="76" spans="1:11">
      <c r="A76" s="62" t="s">
        <v>41</v>
      </c>
      <c r="B76" s="63">
        <v>37.549999999999997</v>
      </c>
      <c r="C76" s="151">
        <f t="shared" si="8"/>
        <v>120525.07500000001</v>
      </c>
      <c r="D76" s="152">
        <v>4525716.5662500001</v>
      </c>
      <c r="E76" s="151">
        <f t="shared" si="9"/>
        <v>121047.57500000001</v>
      </c>
      <c r="F76" s="152">
        <v>4545336.4412500001</v>
      </c>
      <c r="G76" s="151">
        <f t="shared" si="10"/>
        <v>121570.07500000001</v>
      </c>
      <c r="H76" s="152">
        <v>4564956.3162500001</v>
      </c>
      <c r="I76" s="151">
        <f t="shared" si="11"/>
        <v>121047.57500000001</v>
      </c>
      <c r="J76" s="152">
        <v>4545336.4412500001</v>
      </c>
      <c r="K76" s="25" t="s">
        <v>40</v>
      </c>
    </row>
    <row r="77" spans="1:11">
      <c r="A77" s="62" t="s">
        <v>42</v>
      </c>
      <c r="B77" s="63">
        <v>56.58</v>
      </c>
      <c r="C77" s="151">
        <f t="shared" si="8"/>
        <v>104032.88500000002</v>
      </c>
      <c r="D77" s="152">
        <v>5886180.6333000008</v>
      </c>
      <c r="E77" s="151">
        <f t="shared" si="9"/>
        <v>104555.38500000001</v>
      </c>
      <c r="F77" s="152">
        <v>5915743.6833000006</v>
      </c>
      <c r="G77" s="151">
        <f t="shared" si="10"/>
        <v>105077.88500000001</v>
      </c>
      <c r="H77" s="152">
        <v>5945306.7333000004</v>
      </c>
      <c r="I77" s="151">
        <f t="shared" si="11"/>
        <v>104555.38500000001</v>
      </c>
      <c r="J77" s="152">
        <v>5915743.6833000006</v>
      </c>
      <c r="K77" s="25" t="s">
        <v>40</v>
      </c>
    </row>
    <row r="78" spans="1:11" ht="15.75" thickBot="1">
      <c r="A78" s="68" t="s">
        <v>42</v>
      </c>
      <c r="B78" s="69">
        <v>58.22</v>
      </c>
      <c r="C78" s="149">
        <f t="shared" si="8"/>
        <v>103328.55499999999</v>
      </c>
      <c r="D78" s="150">
        <v>6015788.4720999999</v>
      </c>
      <c r="E78" s="149">
        <f t="shared" si="9"/>
        <v>104373.55500000001</v>
      </c>
      <c r="F78" s="150">
        <v>6076628.3721000003</v>
      </c>
      <c r="G78" s="149">
        <f t="shared" si="10"/>
        <v>104373.55500000001</v>
      </c>
      <c r="H78" s="150">
        <v>6076628.3721000003</v>
      </c>
      <c r="I78" s="149">
        <f t="shared" si="11"/>
        <v>103851.05500000001</v>
      </c>
      <c r="J78" s="106">
        <v>6046208.4221000001</v>
      </c>
      <c r="K78" s="18" t="s">
        <v>40</v>
      </c>
    </row>
    <row r="79" spans="1:11">
      <c r="A79" s="67" t="s">
        <v>43</v>
      </c>
      <c r="B79" s="70">
        <v>21.6</v>
      </c>
      <c r="C79" s="151">
        <f t="shared" si="8"/>
        <v>138069.58000000002</v>
      </c>
      <c r="D79" s="152">
        <v>2982302.9280000003</v>
      </c>
      <c r="E79" s="151">
        <f t="shared" si="9"/>
        <v>138592.08000000002</v>
      </c>
      <c r="F79" s="152">
        <v>2993588.9280000003</v>
      </c>
      <c r="G79" s="151">
        <f t="shared" si="10"/>
        <v>139114.58000000002</v>
      </c>
      <c r="H79" s="152">
        <v>3004874.9280000003</v>
      </c>
      <c r="I79" s="151">
        <f t="shared" si="11"/>
        <v>138592.08000000002</v>
      </c>
      <c r="J79" s="152">
        <v>2993588.9280000003</v>
      </c>
      <c r="K79" s="112" t="s">
        <v>30</v>
      </c>
    </row>
    <row r="80" spans="1:11">
      <c r="A80" s="62" t="s">
        <v>44</v>
      </c>
      <c r="B80" s="63">
        <v>37.549999999999997</v>
      </c>
      <c r="C80" s="151">
        <f t="shared" si="8"/>
        <v>113025.11</v>
      </c>
      <c r="D80" s="152">
        <v>4244092.8805</v>
      </c>
      <c r="E80" s="151">
        <f t="shared" si="9"/>
        <v>113547.61</v>
      </c>
      <c r="F80" s="152">
        <v>4263712.7555</v>
      </c>
      <c r="G80" s="151">
        <f t="shared" si="10"/>
        <v>114070.11</v>
      </c>
      <c r="H80" s="152">
        <v>4283332.6305</v>
      </c>
      <c r="I80" s="151">
        <f t="shared" si="11"/>
        <v>113547.61</v>
      </c>
      <c r="J80" s="152">
        <v>4263712.7555</v>
      </c>
      <c r="K80" s="112" t="s">
        <v>30</v>
      </c>
    </row>
    <row r="81" spans="1:11">
      <c r="A81" s="62" t="s">
        <v>45</v>
      </c>
      <c r="B81" s="63">
        <v>56.58</v>
      </c>
      <c r="C81" s="151">
        <f t="shared" si="8"/>
        <v>99033.60500000001</v>
      </c>
      <c r="D81" s="152">
        <v>5603321.3709000004</v>
      </c>
      <c r="E81" s="151">
        <f t="shared" si="9"/>
        <v>99556.105000000025</v>
      </c>
      <c r="F81" s="152">
        <v>5632884.4209000012</v>
      </c>
      <c r="G81" s="151">
        <f t="shared" si="10"/>
        <v>100078.60500000003</v>
      </c>
      <c r="H81" s="152">
        <v>5662447.470900001</v>
      </c>
      <c r="I81" s="151">
        <f t="shared" si="11"/>
        <v>99556.105000000025</v>
      </c>
      <c r="J81" s="152">
        <v>5632884.4209000012</v>
      </c>
      <c r="K81" s="112" t="s">
        <v>30</v>
      </c>
    </row>
    <row r="82" spans="1:11" ht="15.75" thickBot="1">
      <c r="A82" s="68" t="s">
        <v>45</v>
      </c>
      <c r="B82" s="69">
        <v>58.22</v>
      </c>
      <c r="C82" s="149">
        <f t="shared" si="8"/>
        <v>98432.73000000001</v>
      </c>
      <c r="D82" s="150">
        <v>5730753.5406000009</v>
      </c>
      <c r="E82" s="149">
        <f t="shared" si="9"/>
        <v>98955.230000000025</v>
      </c>
      <c r="F82" s="150">
        <v>5761173.4906000011</v>
      </c>
      <c r="G82" s="149">
        <f t="shared" si="10"/>
        <v>99477.730000000025</v>
      </c>
      <c r="H82" s="150">
        <v>5791593.4406000013</v>
      </c>
      <c r="I82" s="149">
        <f t="shared" si="11"/>
        <v>98955.230000000025</v>
      </c>
      <c r="J82" s="106">
        <v>5761173.4906000011</v>
      </c>
      <c r="K82" s="113" t="s">
        <v>30</v>
      </c>
    </row>
    <row r="83" spans="1:11">
      <c r="A83" s="67" t="s">
        <v>46</v>
      </c>
      <c r="B83" s="70">
        <v>21.6</v>
      </c>
      <c r="C83" s="151">
        <f t="shared" si="8"/>
        <v>138069.58000000002</v>
      </c>
      <c r="D83" s="152">
        <v>2982302.9280000003</v>
      </c>
      <c r="E83" s="151">
        <f t="shared" si="9"/>
        <v>138592.08000000002</v>
      </c>
      <c r="F83" s="152">
        <v>2993588.9280000003</v>
      </c>
      <c r="G83" s="151">
        <f t="shared" si="10"/>
        <v>139114.58000000002</v>
      </c>
      <c r="H83" s="152">
        <v>3004874.9280000003</v>
      </c>
      <c r="I83" s="151">
        <f t="shared" si="11"/>
        <v>138592.08000000002</v>
      </c>
      <c r="J83" s="152">
        <v>2993588.9280000003</v>
      </c>
      <c r="K83" s="112" t="s">
        <v>30</v>
      </c>
    </row>
    <row r="84" spans="1:11">
      <c r="A84" s="62" t="s">
        <v>47</v>
      </c>
      <c r="B84" s="63">
        <v>37.549999999999997</v>
      </c>
      <c r="C84" s="151">
        <f t="shared" si="8"/>
        <v>118591.82500000003</v>
      </c>
      <c r="D84" s="152">
        <v>4453123.0287500005</v>
      </c>
      <c r="E84" s="151">
        <f t="shared" si="9"/>
        <v>119113.28000000003</v>
      </c>
      <c r="F84" s="152">
        <v>4472703.6640000008</v>
      </c>
      <c r="G84" s="151">
        <f t="shared" si="10"/>
        <v>119635.78000000003</v>
      </c>
      <c r="H84" s="152">
        <v>4492323.5390000008</v>
      </c>
      <c r="I84" s="151">
        <f t="shared" si="11"/>
        <v>119113.28000000003</v>
      </c>
      <c r="J84" s="152">
        <v>4472703.6640000008</v>
      </c>
      <c r="K84" s="25" t="s">
        <v>48</v>
      </c>
    </row>
    <row r="85" spans="1:11">
      <c r="A85" s="62" t="s">
        <v>49</v>
      </c>
      <c r="B85" s="63">
        <v>56.58</v>
      </c>
      <c r="C85" s="151">
        <f t="shared" si="8"/>
        <v>101786.13500000001</v>
      </c>
      <c r="D85" s="152">
        <v>5759059.5183000006</v>
      </c>
      <c r="E85" s="151">
        <f t="shared" si="9"/>
        <v>102308.63500000001</v>
      </c>
      <c r="F85" s="152">
        <v>5788622.5683000004</v>
      </c>
      <c r="G85" s="151">
        <f t="shared" si="10"/>
        <v>102831.13500000001</v>
      </c>
      <c r="H85" s="152">
        <v>5818185.6183000002</v>
      </c>
      <c r="I85" s="151">
        <f t="shared" si="11"/>
        <v>102308.63500000001</v>
      </c>
      <c r="J85" s="152">
        <v>5788622.5683000004</v>
      </c>
      <c r="K85" s="25" t="s">
        <v>48</v>
      </c>
    </row>
    <row r="86" spans="1:11" ht="15.75" thickBot="1">
      <c r="A86" s="68" t="s">
        <v>49</v>
      </c>
      <c r="B86" s="69">
        <v>58.22</v>
      </c>
      <c r="C86" s="149">
        <f t="shared" si="8"/>
        <v>101081.80500000001</v>
      </c>
      <c r="D86" s="150">
        <v>5884982.6871000007</v>
      </c>
      <c r="E86" s="149">
        <f t="shared" si="9"/>
        <v>101604.30500000002</v>
      </c>
      <c r="F86" s="150">
        <v>5915402.6371000009</v>
      </c>
      <c r="G86" s="149">
        <f t="shared" si="10"/>
        <v>102126.80500000001</v>
      </c>
      <c r="H86" s="150">
        <v>5945822.5871000001</v>
      </c>
      <c r="I86" s="149">
        <f t="shared" si="11"/>
        <v>101604.30500000002</v>
      </c>
      <c r="J86" s="106">
        <v>5915402.6371000009</v>
      </c>
      <c r="K86" s="18" t="s">
        <v>48</v>
      </c>
    </row>
    <row r="87" spans="1:11">
      <c r="A87" s="67" t="s">
        <v>50</v>
      </c>
      <c r="B87" s="71">
        <v>21.6</v>
      </c>
      <c r="C87" s="153">
        <f t="shared" si="8"/>
        <v>147745.23500000002</v>
      </c>
      <c r="D87" s="154">
        <v>3191297.0760000004</v>
      </c>
      <c r="E87" s="153">
        <f t="shared" si="9"/>
        <v>148267.73500000002</v>
      </c>
      <c r="F87" s="154">
        <v>3202583.0760000004</v>
      </c>
      <c r="G87" s="145">
        <f t="shared" si="10"/>
        <v>148790.23500000002</v>
      </c>
      <c r="H87" s="152">
        <v>3213869.0760000004</v>
      </c>
      <c r="I87" s="153">
        <f t="shared" si="11"/>
        <v>148267.73500000002</v>
      </c>
      <c r="J87" s="155">
        <v>3202583.0760000004</v>
      </c>
      <c r="K87" s="82" t="s">
        <v>48</v>
      </c>
    </row>
    <row r="88" spans="1:11">
      <c r="A88" s="62" t="s">
        <v>51</v>
      </c>
      <c r="B88" s="72">
        <v>37.549999999999997</v>
      </c>
      <c r="C88" s="156">
        <f t="shared" si="8"/>
        <v>118591.82500000003</v>
      </c>
      <c r="D88" s="154">
        <v>4453123.0287500005</v>
      </c>
      <c r="E88" s="156">
        <f t="shared" si="9"/>
        <v>119114.32500000003</v>
      </c>
      <c r="F88" s="154">
        <v>4472742.9037500005</v>
      </c>
      <c r="G88" s="151">
        <f t="shared" si="10"/>
        <v>119635.78000000003</v>
      </c>
      <c r="H88" s="152">
        <v>4492323.5390000008</v>
      </c>
      <c r="I88" s="156">
        <f t="shared" si="11"/>
        <v>119113.28000000003</v>
      </c>
      <c r="J88" s="107">
        <v>4472703.6640000008</v>
      </c>
      <c r="K88" s="82" t="s">
        <v>48</v>
      </c>
    </row>
    <row r="89" spans="1:11">
      <c r="A89" s="62" t="s">
        <v>52</v>
      </c>
      <c r="B89" s="72">
        <v>56.58</v>
      </c>
      <c r="C89" s="156">
        <f t="shared" si="8"/>
        <v>101786.13500000001</v>
      </c>
      <c r="D89" s="154">
        <v>5759059.5183000006</v>
      </c>
      <c r="E89" s="156">
        <f t="shared" si="9"/>
        <v>102308.63500000001</v>
      </c>
      <c r="F89" s="154">
        <v>5788622.5683000004</v>
      </c>
      <c r="G89" s="151">
        <f t="shared" si="10"/>
        <v>102831.13500000001</v>
      </c>
      <c r="H89" s="152">
        <v>5818185.6183000002</v>
      </c>
      <c r="I89" s="156">
        <f t="shared" si="11"/>
        <v>102308.63500000001</v>
      </c>
      <c r="J89" s="107">
        <v>5788622.5683000004</v>
      </c>
      <c r="K89" s="82" t="s">
        <v>48</v>
      </c>
    </row>
    <row r="90" spans="1:11" ht="15.75" thickBot="1">
      <c r="A90" s="68" t="s">
        <v>52</v>
      </c>
      <c r="B90" s="73">
        <v>58.22</v>
      </c>
      <c r="C90" s="157">
        <f t="shared" si="8"/>
        <v>101081.80500000001</v>
      </c>
      <c r="D90" s="158">
        <v>5884982.6871000007</v>
      </c>
      <c r="E90" s="157">
        <f t="shared" si="9"/>
        <v>101604.30500000002</v>
      </c>
      <c r="F90" s="158">
        <v>5915402.6371000009</v>
      </c>
      <c r="G90" s="149">
        <f t="shared" si="10"/>
        <v>102126.80500000001</v>
      </c>
      <c r="H90" s="150">
        <v>5945822.5871000001</v>
      </c>
      <c r="I90" s="157">
        <f t="shared" si="11"/>
        <v>101604.30500000002</v>
      </c>
      <c r="J90" s="106">
        <v>5915402.6371000009</v>
      </c>
      <c r="K90" s="83" t="s">
        <v>48</v>
      </c>
    </row>
    <row r="91" spans="1:11">
      <c r="A91" s="62" t="s">
        <v>53</v>
      </c>
      <c r="B91" s="74">
        <v>35.67</v>
      </c>
      <c r="C91" s="153">
        <f t="shared" si="8"/>
        <v>109851.44500000001</v>
      </c>
      <c r="D91" s="159">
        <v>3918401.0431500003</v>
      </c>
      <c r="E91" s="153">
        <f t="shared" si="9"/>
        <v>110373.94499999999</v>
      </c>
      <c r="F91" s="159">
        <v>3937038.61815</v>
      </c>
      <c r="G91" s="145">
        <f t="shared" si="10"/>
        <v>110896.44500000001</v>
      </c>
      <c r="H91" s="155">
        <v>3955676.1931500002</v>
      </c>
      <c r="I91" s="153">
        <f t="shared" si="11"/>
        <v>110373.94499999999</v>
      </c>
      <c r="J91" s="155">
        <v>3937038.61815</v>
      </c>
      <c r="K91" s="139" t="s">
        <v>30</v>
      </c>
    </row>
    <row r="92" spans="1:11" ht="15.75" thickBot="1">
      <c r="A92" s="68" t="s">
        <v>53</v>
      </c>
      <c r="B92" s="75">
        <v>37.090000000000003</v>
      </c>
      <c r="C92" s="160">
        <f t="shared" si="8"/>
        <v>108974.68999999999</v>
      </c>
      <c r="D92" s="161">
        <v>4041871.2521000002</v>
      </c>
      <c r="E92" s="160">
        <f t="shared" si="9"/>
        <v>109497.18999999999</v>
      </c>
      <c r="F92" s="161">
        <v>4061250.7771000001</v>
      </c>
      <c r="G92" s="144">
        <f t="shared" si="10"/>
        <v>110019.68999999999</v>
      </c>
      <c r="H92" s="162">
        <v>4080630.3021</v>
      </c>
      <c r="I92" s="160">
        <f t="shared" si="11"/>
        <v>109497.18999999999</v>
      </c>
      <c r="J92" s="162">
        <v>4061250.7771000001</v>
      </c>
      <c r="K92" s="140" t="s">
        <v>30</v>
      </c>
    </row>
    <row r="94" spans="1:11" ht="19.5" thickBot="1">
      <c r="A94" s="164" t="s">
        <v>129</v>
      </c>
      <c r="B94" s="1"/>
      <c r="C94" s="1"/>
      <c r="D94" s="1"/>
      <c r="E94" s="4"/>
      <c r="F94" s="1"/>
      <c r="G94" s="4"/>
      <c r="H94" s="4"/>
      <c r="I94" s="4"/>
      <c r="J94" s="4"/>
      <c r="K94" s="4"/>
    </row>
    <row r="95" spans="1:11" ht="30.75" thickBot="1">
      <c r="A95" s="59" t="s">
        <v>21</v>
      </c>
      <c r="B95" s="60" t="s">
        <v>22</v>
      </c>
      <c r="C95" s="61" t="s">
        <v>23</v>
      </c>
      <c r="D95" s="60" t="s">
        <v>24</v>
      </c>
      <c r="E95" s="61" t="s">
        <v>25</v>
      </c>
      <c r="F95" s="60" t="s">
        <v>24</v>
      </c>
      <c r="G95" s="61" t="s">
        <v>26</v>
      </c>
      <c r="H95" s="60" t="s">
        <v>24</v>
      </c>
      <c r="I95" s="61" t="s">
        <v>27</v>
      </c>
      <c r="J95" s="60" t="s">
        <v>24</v>
      </c>
      <c r="K95" s="76" t="s">
        <v>28</v>
      </c>
    </row>
    <row r="96" spans="1:11">
      <c r="A96" s="62" t="s">
        <v>29</v>
      </c>
      <c r="B96" s="63">
        <v>56.58</v>
      </c>
      <c r="C96" s="141">
        <f>D96/B96</f>
        <v>94325.025000000023</v>
      </c>
      <c r="D96" s="142">
        <v>5336909.9145000009</v>
      </c>
      <c r="E96" s="141">
        <f>F96/B96</f>
        <v>94852.275000000009</v>
      </c>
      <c r="F96" s="142">
        <v>5366741.7195000006</v>
      </c>
      <c r="G96" s="141">
        <f>H96/B96</f>
        <v>95379.525000000009</v>
      </c>
      <c r="H96" s="142">
        <v>5396573.5245000003</v>
      </c>
      <c r="I96" s="141">
        <f>J96/B96</f>
        <v>94852.275000000009</v>
      </c>
      <c r="J96" s="142">
        <v>5366741.7195000006</v>
      </c>
      <c r="K96" s="15" t="s">
        <v>30</v>
      </c>
    </row>
    <row r="97" spans="1:11" ht="15.75" thickBot="1">
      <c r="A97" s="62" t="s">
        <v>29</v>
      </c>
      <c r="B97" s="64">
        <v>58.22</v>
      </c>
      <c r="C97" s="141">
        <f t="shared" ref="C97:C123" si="12">D97/B97</f>
        <v>93850.500000000015</v>
      </c>
      <c r="D97" s="143">
        <v>5463976.1100000003</v>
      </c>
      <c r="E97" s="144">
        <f t="shared" ref="E97:E123" si="13">F97/B97</f>
        <v>94377.750000000015</v>
      </c>
      <c r="F97" s="143">
        <v>5494672.6050000004</v>
      </c>
      <c r="G97" s="144">
        <f t="shared" ref="G97:G123" si="14">H97/B97</f>
        <v>94905.000000000015</v>
      </c>
      <c r="H97" s="143">
        <v>5525369.1000000006</v>
      </c>
      <c r="I97" s="144">
        <f t="shared" ref="I97:I123" si="15">J97/B97</f>
        <v>94377.750000000015</v>
      </c>
      <c r="J97" s="143">
        <v>5494672.6050000004</v>
      </c>
      <c r="K97" s="79" t="s">
        <v>30</v>
      </c>
    </row>
    <row r="98" spans="1:11">
      <c r="A98" s="65" t="s">
        <v>31</v>
      </c>
      <c r="B98" s="66">
        <v>21.6</v>
      </c>
      <c r="C98" s="145">
        <f t="shared" si="12"/>
        <v>137938.09049999999</v>
      </c>
      <c r="D98" s="146">
        <v>2979462.7548000002</v>
      </c>
      <c r="E98" s="145">
        <f t="shared" si="13"/>
        <v>138465.34050000002</v>
      </c>
      <c r="F98" s="146">
        <v>2990851.3548000003</v>
      </c>
      <c r="G98" s="145">
        <f t="shared" si="14"/>
        <v>138992.59050000002</v>
      </c>
      <c r="H98" s="146">
        <v>3002239.9548000004</v>
      </c>
      <c r="I98" s="145">
        <f t="shared" si="15"/>
        <v>138465.34050000002</v>
      </c>
      <c r="J98" s="146">
        <v>2990851.3548000003</v>
      </c>
      <c r="K98" s="80" t="s">
        <v>30</v>
      </c>
    </row>
    <row r="99" spans="1:11">
      <c r="A99" s="67" t="s">
        <v>32</v>
      </c>
      <c r="B99" s="63">
        <v>37.549999999999997</v>
      </c>
      <c r="C99" s="147">
        <f t="shared" si="12"/>
        <v>108435.28950000003</v>
      </c>
      <c r="D99" s="148">
        <v>4071745.1207250007</v>
      </c>
      <c r="E99" s="147">
        <f t="shared" si="13"/>
        <v>108962.53950000003</v>
      </c>
      <c r="F99" s="148">
        <v>4091543.3582250006</v>
      </c>
      <c r="G99" s="147">
        <f t="shared" si="14"/>
        <v>109489.78950000001</v>
      </c>
      <c r="H99" s="148">
        <v>4111341.5957250004</v>
      </c>
      <c r="I99" s="147">
        <f t="shared" si="15"/>
        <v>108962.53950000003</v>
      </c>
      <c r="J99" s="148">
        <v>4091543.3582250006</v>
      </c>
      <c r="K99" s="15" t="s">
        <v>30</v>
      </c>
    </row>
    <row r="100" spans="1:11">
      <c r="A100" s="62" t="s">
        <v>33</v>
      </c>
      <c r="B100" s="63">
        <v>56.58</v>
      </c>
      <c r="C100" s="141">
        <f t="shared" si="12"/>
        <v>94325.025000000023</v>
      </c>
      <c r="D100" s="142">
        <v>5336909.9145000009</v>
      </c>
      <c r="E100" s="141">
        <f t="shared" si="13"/>
        <v>94852.275000000009</v>
      </c>
      <c r="F100" s="142">
        <v>5366741.7195000006</v>
      </c>
      <c r="G100" s="141">
        <f t="shared" si="14"/>
        <v>95379.525000000009</v>
      </c>
      <c r="H100" s="142">
        <v>5396573.5245000003</v>
      </c>
      <c r="I100" s="141">
        <f t="shared" si="15"/>
        <v>94852.275000000009</v>
      </c>
      <c r="J100" s="142">
        <v>5366741.7195000006</v>
      </c>
      <c r="K100" s="15" t="s">
        <v>30</v>
      </c>
    </row>
    <row r="101" spans="1:11" ht="15.75" thickBot="1">
      <c r="A101" s="68" t="s">
        <v>34</v>
      </c>
      <c r="B101" s="69">
        <v>58.22</v>
      </c>
      <c r="C101" s="149">
        <f t="shared" si="12"/>
        <v>93850.500000000015</v>
      </c>
      <c r="D101" s="150">
        <v>5463976.1100000003</v>
      </c>
      <c r="E101" s="149">
        <f t="shared" si="13"/>
        <v>94377.750000000015</v>
      </c>
      <c r="F101" s="150">
        <v>5494672.6050000004</v>
      </c>
      <c r="G101" s="149">
        <f t="shared" si="14"/>
        <v>94905.000000000015</v>
      </c>
      <c r="H101" s="106">
        <v>5525369.1000000006</v>
      </c>
      <c r="I101" s="144">
        <f t="shared" si="15"/>
        <v>94377.750000000015</v>
      </c>
      <c r="J101" s="143">
        <v>5494672.6050000004</v>
      </c>
      <c r="K101" s="79" t="s">
        <v>30</v>
      </c>
    </row>
    <row r="102" spans="1:11">
      <c r="A102" s="65" t="s">
        <v>35</v>
      </c>
      <c r="B102" s="66">
        <v>21.6</v>
      </c>
      <c r="C102" s="145">
        <f t="shared" si="12"/>
        <v>137938.09049999999</v>
      </c>
      <c r="D102" s="146">
        <v>2979462.7548000002</v>
      </c>
      <c r="E102" s="145">
        <f t="shared" si="13"/>
        <v>138465.34050000002</v>
      </c>
      <c r="F102" s="146">
        <v>2990851.3548000003</v>
      </c>
      <c r="G102" s="145">
        <f t="shared" si="14"/>
        <v>138992.59050000002</v>
      </c>
      <c r="H102" s="146">
        <v>3002239.9548000004</v>
      </c>
      <c r="I102" s="145">
        <f t="shared" si="15"/>
        <v>138465.34050000002</v>
      </c>
      <c r="J102" s="146">
        <v>2990851.3548000003</v>
      </c>
      <c r="K102" s="137" t="s">
        <v>30</v>
      </c>
    </row>
    <row r="103" spans="1:11">
      <c r="A103" s="67" t="s">
        <v>36</v>
      </c>
      <c r="B103" s="63">
        <v>37.549999999999997</v>
      </c>
      <c r="C103" s="147">
        <f t="shared" si="12"/>
        <v>108435.28950000003</v>
      </c>
      <c r="D103" s="148">
        <v>4071745.1207250007</v>
      </c>
      <c r="E103" s="147">
        <f t="shared" si="13"/>
        <v>108962.53950000003</v>
      </c>
      <c r="F103" s="148">
        <v>4091543.3582250006</v>
      </c>
      <c r="G103" s="147">
        <f t="shared" si="14"/>
        <v>109489.78950000001</v>
      </c>
      <c r="H103" s="148">
        <v>4111341.5957250004</v>
      </c>
      <c r="I103" s="147">
        <f t="shared" si="15"/>
        <v>108962.53950000003</v>
      </c>
      <c r="J103" s="148">
        <v>4091543.3582250006</v>
      </c>
      <c r="K103" s="111" t="s">
        <v>30</v>
      </c>
    </row>
    <row r="104" spans="1:11">
      <c r="A104" s="62" t="s">
        <v>37</v>
      </c>
      <c r="B104" s="63">
        <v>56.58</v>
      </c>
      <c r="C104" s="141">
        <f t="shared" si="12"/>
        <v>94325.025000000023</v>
      </c>
      <c r="D104" s="142">
        <v>5336909.9145000009</v>
      </c>
      <c r="E104" s="141">
        <f t="shared" si="13"/>
        <v>94852.275000000009</v>
      </c>
      <c r="F104" s="142">
        <v>5366741.7195000006</v>
      </c>
      <c r="G104" s="141">
        <f t="shared" si="14"/>
        <v>95379.525000000009</v>
      </c>
      <c r="H104" s="142">
        <v>5396573.5245000003</v>
      </c>
      <c r="I104" s="141">
        <f t="shared" si="15"/>
        <v>94852.275000000009</v>
      </c>
      <c r="J104" s="142">
        <v>5366741.7195000006</v>
      </c>
      <c r="K104" s="111" t="s">
        <v>30</v>
      </c>
    </row>
    <row r="105" spans="1:11" ht="15.75" thickBot="1">
      <c r="A105" s="68" t="s">
        <v>38</v>
      </c>
      <c r="B105" s="69">
        <v>58.22</v>
      </c>
      <c r="C105" s="149">
        <f t="shared" si="12"/>
        <v>93850.500000000015</v>
      </c>
      <c r="D105" s="150">
        <v>5463976.1100000003</v>
      </c>
      <c r="E105" s="149">
        <f t="shared" si="13"/>
        <v>94377.750000000015</v>
      </c>
      <c r="F105" s="150">
        <v>5494672.6050000004</v>
      </c>
      <c r="G105" s="149">
        <f t="shared" si="14"/>
        <v>94905.000000000015</v>
      </c>
      <c r="H105" s="106">
        <v>5525369.1000000006</v>
      </c>
      <c r="I105" s="144">
        <f t="shared" si="15"/>
        <v>94377.750000000015</v>
      </c>
      <c r="J105" s="143">
        <v>5494672.6050000004</v>
      </c>
      <c r="K105" s="138" t="s">
        <v>30</v>
      </c>
    </row>
    <row r="106" spans="1:11">
      <c r="A106" s="67" t="s">
        <v>39</v>
      </c>
      <c r="B106" s="70">
        <v>21.6</v>
      </c>
      <c r="C106" s="151">
        <f t="shared" si="12"/>
        <v>151250.09849999999</v>
      </c>
      <c r="D106" s="152">
        <v>3267002.1276000002</v>
      </c>
      <c r="E106" s="151">
        <f t="shared" si="13"/>
        <v>151777.34849999999</v>
      </c>
      <c r="F106" s="152">
        <v>3278390.7276000003</v>
      </c>
      <c r="G106" s="151">
        <f t="shared" si="14"/>
        <v>152304.59850000002</v>
      </c>
      <c r="H106" s="152">
        <v>3289779.3276000004</v>
      </c>
      <c r="I106" s="151">
        <f t="shared" si="15"/>
        <v>151777.34849999999</v>
      </c>
      <c r="J106" s="152">
        <v>3278390.7276000003</v>
      </c>
      <c r="K106" s="112" t="s">
        <v>30</v>
      </c>
    </row>
    <row r="107" spans="1:11">
      <c r="A107" s="62" t="s">
        <v>41</v>
      </c>
      <c r="B107" s="63">
        <v>37.549999999999997</v>
      </c>
      <c r="C107" s="151">
        <f t="shared" si="12"/>
        <v>121620.75750000002</v>
      </c>
      <c r="D107" s="152">
        <v>4566859.4441250004</v>
      </c>
      <c r="E107" s="151">
        <f t="shared" si="13"/>
        <v>122148.00750000002</v>
      </c>
      <c r="F107" s="152">
        <v>4586657.6816250002</v>
      </c>
      <c r="G107" s="151">
        <f t="shared" si="14"/>
        <v>122675.25750000004</v>
      </c>
      <c r="H107" s="152">
        <v>4606455.9191250009</v>
      </c>
      <c r="I107" s="151">
        <f t="shared" si="15"/>
        <v>122148.00750000002</v>
      </c>
      <c r="J107" s="152">
        <v>4586657.6816250002</v>
      </c>
      <c r="K107" s="25" t="s">
        <v>40</v>
      </c>
    </row>
    <row r="108" spans="1:11">
      <c r="A108" s="62" t="s">
        <v>42</v>
      </c>
      <c r="B108" s="63">
        <v>56.58</v>
      </c>
      <c r="C108" s="151">
        <f t="shared" si="12"/>
        <v>104978.63850000002</v>
      </c>
      <c r="D108" s="152">
        <v>5939691.3663300006</v>
      </c>
      <c r="E108" s="151">
        <f t="shared" si="13"/>
        <v>105505.88850000003</v>
      </c>
      <c r="F108" s="152">
        <v>5969523.1713300012</v>
      </c>
      <c r="G108" s="151">
        <f t="shared" si="14"/>
        <v>106033.13850000002</v>
      </c>
      <c r="H108" s="152">
        <v>5999354.9763300009</v>
      </c>
      <c r="I108" s="151">
        <f t="shared" si="15"/>
        <v>105505.88850000003</v>
      </c>
      <c r="J108" s="152">
        <v>5969523.1713300012</v>
      </c>
      <c r="K108" s="25" t="s">
        <v>40</v>
      </c>
    </row>
    <row r="109" spans="1:11" ht="15.75" thickBot="1">
      <c r="A109" s="68" t="s">
        <v>42</v>
      </c>
      <c r="B109" s="69">
        <v>58.22</v>
      </c>
      <c r="C109" s="149">
        <f t="shared" si="12"/>
        <v>104267.90549999999</v>
      </c>
      <c r="D109" s="150">
        <v>6070477.4582099998</v>
      </c>
      <c r="E109" s="149">
        <f t="shared" si="13"/>
        <v>105322.40550000001</v>
      </c>
      <c r="F109" s="150">
        <v>6131870.4482100001</v>
      </c>
      <c r="G109" s="149">
        <f t="shared" si="14"/>
        <v>105322.40550000001</v>
      </c>
      <c r="H109" s="150">
        <v>6131870.4482100001</v>
      </c>
      <c r="I109" s="149">
        <f t="shared" si="15"/>
        <v>104795.15550000001</v>
      </c>
      <c r="J109" s="106">
        <v>6101173.9532099999</v>
      </c>
      <c r="K109" s="18" t="s">
        <v>40</v>
      </c>
    </row>
    <row r="110" spans="1:11">
      <c r="A110" s="67" t="s">
        <v>43</v>
      </c>
      <c r="B110" s="70">
        <v>21.6</v>
      </c>
      <c r="C110" s="151">
        <f t="shared" si="12"/>
        <v>139324.758</v>
      </c>
      <c r="D110" s="152">
        <v>3009414.7728000004</v>
      </c>
      <c r="E110" s="151">
        <f t="shared" si="13"/>
        <v>139852.008</v>
      </c>
      <c r="F110" s="152">
        <v>3020803.3728000005</v>
      </c>
      <c r="G110" s="151">
        <f t="shared" si="14"/>
        <v>140379.258</v>
      </c>
      <c r="H110" s="152">
        <v>3032191.9728000001</v>
      </c>
      <c r="I110" s="151">
        <f t="shared" si="15"/>
        <v>139852.008</v>
      </c>
      <c r="J110" s="152">
        <v>3020803.3728000005</v>
      </c>
      <c r="K110" s="112" t="s">
        <v>30</v>
      </c>
    </row>
    <row r="111" spans="1:11">
      <c r="A111" s="62" t="s">
        <v>44</v>
      </c>
      <c r="B111" s="63">
        <v>37.549999999999997</v>
      </c>
      <c r="C111" s="151">
        <f t="shared" si="12"/>
        <v>114052.61100000002</v>
      </c>
      <c r="D111" s="152">
        <v>4282675.5430500004</v>
      </c>
      <c r="E111" s="151">
        <f t="shared" si="13"/>
        <v>114579.86100000002</v>
      </c>
      <c r="F111" s="152">
        <v>4302473.7805500003</v>
      </c>
      <c r="G111" s="151">
        <f t="shared" si="14"/>
        <v>115107.111</v>
      </c>
      <c r="H111" s="152">
        <v>4322272.0180500001</v>
      </c>
      <c r="I111" s="151">
        <f t="shared" si="15"/>
        <v>114579.86100000002</v>
      </c>
      <c r="J111" s="152">
        <v>4302473.7805500003</v>
      </c>
      <c r="K111" s="112" t="s">
        <v>30</v>
      </c>
    </row>
    <row r="112" spans="1:11">
      <c r="A112" s="62" t="s">
        <v>45</v>
      </c>
      <c r="B112" s="63">
        <v>56.58</v>
      </c>
      <c r="C112" s="151">
        <f t="shared" si="12"/>
        <v>99933.910500000013</v>
      </c>
      <c r="D112" s="152">
        <v>5654260.6560900006</v>
      </c>
      <c r="E112" s="151">
        <f t="shared" si="13"/>
        <v>100461.16050000003</v>
      </c>
      <c r="F112" s="152">
        <v>5684092.4610900013</v>
      </c>
      <c r="G112" s="151">
        <f t="shared" si="14"/>
        <v>100988.41050000003</v>
      </c>
      <c r="H112" s="152">
        <v>5713924.266090001</v>
      </c>
      <c r="I112" s="151">
        <f t="shared" si="15"/>
        <v>100461.16050000003</v>
      </c>
      <c r="J112" s="152">
        <v>5684092.4610900013</v>
      </c>
      <c r="K112" s="112" t="s">
        <v>30</v>
      </c>
    </row>
    <row r="113" spans="1:11" ht="15.75" thickBot="1">
      <c r="A113" s="68" t="s">
        <v>45</v>
      </c>
      <c r="B113" s="69">
        <v>58.22</v>
      </c>
      <c r="C113" s="149">
        <f t="shared" si="12"/>
        <v>99327.573000000019</v>
      </c>
      <c r="D113" s="150">
        <v>5782851.3000600012</v>
      </c>
      <c r="E113" s="149">
        <f t="shared" si="13"/>
        <v>99854.823000000019</v>
      </c>
      <c r="F113" s="150">
        <v>5813547.7950600013</v>
      </c>
      <c r="G113" s="149">
        <f t="shared" si="14"/>
        <v>100382.07300000003</v>
      </c>
      <c r="H113" s="150">
        <v>5844244.2900600014</v>
      </c>
      <c r="I113" s="149">
        <f t="shared" si="15"/>
        <v>99854.823000000019</v>
      </c>
      <c r="J113" s="106">
        <v>5813547.7950600013</v>
      </c>
      <c r="K113" s="113" t="s">
        <v>30</v>
      </c>
    </row>
    <row r="114" spans="1:11">
      <c r="A114" s="67" t="s">
        <v>46</v>
      </c>
      <c r="B114" s="70">
        <v>21.6</v>
      </c>
      <c r="C114" s="151">
        <f t="shared" si="12"/>
        <v>139324.758</v>
      </c>
      <c r="D114" s="152">
        <v>3009414.7728000004</v>
      </c>
      <c r="E114" s="151">
        <f t="shared" si="13"/>
        <v>139852.008</v>
      </c>
      <c r="F114" s="152">
        <v>3020803.3728000005</v>
      </c>
      <c r="G114" s="151">
        <f t="shared" si="14"/>
        <v>140379.258</v>
      </c>
      <c r="H114" s="152">
        <v>3032191.9728000001</v>
      </c>
      <c r="I114" s="151">
        <f t="shared" si="15"/>
        <v>139852.008</v>
      </c>
      <c r="J114" s="152">
        <v>3020803.3728000005</v>
      </c>
      <c r="K114" s="112" t="s">
        <v>30</v>
      </c>
    </row>
    <row r="115" spans="1:11">
      <c r="A115" s="62" t="s">
        <v>47</v>
      </c>
      <c r="B115" s="63">
        <v>37.549999999999997</v>
      </c>
      <c r="C115" s="151">
        <f t="shared" si="12"/>
        <v>119669.93250000002</v>
      </c>
      <c r="D115" s="152">
        <v>4493605.9653750006</v>
      </c>
      <c r="E115" s="151">
        <f t="shared" si="13"/>
        <v>120196.12800000003</v>
      </c>
      <c r="F115" s="152">
        <v>4513364.6064000009</v>
      </c>
      <c r="G115" s="151">
        <f t="shared" si="14"/>
        <v>120723.37800000003</v>
      </c>
      <c r="H115" s="152">
        <v>4533162.8439000007</v>
      </c>
      <c r="I115" s="151">
        <f t="shared" si="15"/>
        <v>120196.12800000003</v>
      </c>
      <c r="J115" s="152">
        <v>4513364.6064000009</v>
      </c>
      <c r="K115" s="25" t="s">
        <v>48</v>
      </c>
    </row>
    <row r="116" spans="1:11">
      <c r="A116" s="62" t="s">
        <v>49</v>
      </c>
      <c r="B116" s="63">
        <v>56.58</v>
      </c>
      <c r="C116" s="151">
        <f t="shared" si="12"/>
        <v>102711.46350000001</v>
      </c>
      <c r="D116" s="152">
        <v>5811414.6048300005</v>
      </c>
      <c r="E116" s="151">
        <f t="shared" si="13"/>
        <v>103238.71350000001</v>
      </c>
      <c r="F116" s="152">
        <v>5841246.4098300003</v>
      </c>
      <c r="G116" s="151">
        <f t="shared" si="14"/>
        <v>103765.96350000001</v>
      </c>
      <c r="H116" s="152">
        <v>5871078.2148300009</v>
      </c>
      <c r="I116" s="151">
        <f t="shared" si="15"/>
        <v>103238.71350000001</v>
      </c>
      <c r="J116" s="152">
        <v>5841246.4098300003</v>
      </c>
      <c r="K116" s="25" t="s">
        <v>48</v>
      </c>
    </row>
    <row r="117" spans="1:11" ht="15.75" thickBot="1">
      <c r="A117" s="68" t="s">
        <v>49</v>
      </c>
      <c r="B117" s="69">
        <v>58.22</v>
      </c>
      <c r="C117" s="149">
        <f t="shared" si="12"/>
        <v>102000.73050000001</v>
      </c>
      <c r="D117" s="150">
        <v>5938482.5297100004</v>
      </c>
      <c r="E117" s="149">
        <f t="shared" si="13"/>
        <v>102527.98050000001</v>
      </c>
      <c r="F117" s="150">
        <v>5969179.0247100005</v>
      </c>
      <c r="G117" s="149">
        <f t="shared" si="14"/>
        <v>103055.23050000001</v>
      </c>
      <c r="H117" s="150">
        <v>5999875.5197100006</v>
      </c>
      <c r="I117" s="149">
        <f t="shared" si="15"/>
        <v>102527.98050000001</v>
      </c>
      <c r="J117" s="106">
        <v>5969179.0247100005</v>
      </c>
      <c r="K117" s="18" t="s">
        <v>48</v>
      </c>
    </row>
    <row r="118" spans="1:11">
      <c r="A118" s="67" t="s">
        <v>50</v>
      </c>
      <c r="B118" s="71">
        <v>21.6</v>
      </c>
      <c r="C118" s="153">
        <f t="shared" si="12"/>
        <v>149088.37350000002</v>
      </c>
      <c r="D118" s="154">
        <v>3220308.8676000005</v>
      </c>
      <c r="E118" s="153">
        <f t="shared" si="13"/>
        <v>149615.62350000002</v>
      </c>
      <c r="F118" s="154">
        <v>3231697.4676000006</v>
      </c>
      <c r="G118" s="145">
        <f t="shared" si="14"/>
        <v>150142.87350000002</v>
      </c>
      <c r="H118" s="152">
        <v>3243086.0676000006</v>
      </c>
      <c r="I118" s="153">
        <f t="shared" si="15"/>
        <v>149615.62350000002</v>
      </c>
      <c r="J118" s="155">
        <v>3231697.4676000006</v>
      </c>
      <c r="K118" s="82" t="s">
        <v>48</v>
      </c>
    </row>
    <row r="119" spans="1:11">
      <c r="A119" s="62" t="s">
        <v>51</v>
      </c>
      <c r="B119" s="72">
        <v>37.549999999999997</v>
      </c>
      <c r="C119" s="156">
        <f t="shared" si="12"/>
        <v>119669.93250000002</v>
      </c>
      <c r="D119" s="154">
        <v>4493605.9653750006</v>
      </c>
      <c r="E119" s="156">
        <f t="shared" si="13"/>
        <v>120197.18250000002</v>
      </c>
      <c r="F119" s="154">
        <v>4513404.2028750004</v>
      </c>
      <c r="G119" s="151">
        <f t="shared" si="14"/>
        <v>120723.37800000003</v>
      </c>
      <c r="H119" s="152">
        <v>4533162.8439000007</v>
      </c>
      <c r="I119" s="156">
        <f t="shared" si="15"/>
        <v>120196.12800000003</v>
      </c>
      <c r="J119" s="107">
        <v>4513364.6064000009</v>
      </c>
      <c r="K119" s="82" t="s">
        <v>48</v>
      </c>
    </row>
    <row r="120" spans="1:11">
      <c r="A120" s="62" t="s">
        <v>52</v>
      </c>
      <c r="B120" s="72">
        <v>56.58</v>
      </c>
      <c r="C120" s="156">
        <f t="shared" si="12"/>
        <v>102711.46350000001</v>
      </c>
      <c r="D120" s="154">
        <v>5811414.6048300005</v>
      </c>
      <c r="E120" s="156">
        <f t="shared" si="13"/>
        <v>103238.71350000001</v>
      </c>
      <c r="F120" s="154">
        <v>5841246.4098300003</v>
      </c>
      <c r="G120" s="151">
        <f t="shared" si="14"/>
        <v>103765.96350000001</v>
      </c>
      <c r="H120" s="152">
        <v>5871078.2148300009</v>
      </c>
      <c r="I120" s="156">
        <f t="shared" si="15"/>
        <v>103238.71350000001</v>
      </c>
      <c r="J120" s="107">
        <v>5841246.4098300003</v>
      </c>
      <c r="K120" s="82" t="s">
        <v>48</v>
      </c>
    </row>
    <row r="121" spans="1:11" ht="15.75" thickBot="1">
      <c r="A121" s="68" t="s">
        <v>52</v>
      </c>
      <c r="B121" s="73">
        <v>58.22</v>
      </c>
      <c r="C121" s="157">
        <f t="shared" si="12"/>
        <v>102000.73050000001</v>
      </c>
      <c r="D121" s="158">
        <v>5938482.5297100004</v>
      </c>
      <c r="E121" s="157">
        <f t="shared" si="13"/>
        <v>102527.98050000001</v>
      </c>
      <c r="F121" s="158">
        <v>5969179.0247100005</v>
      </c>
      <c r="G121" s="149">
        <f t="shared" si="14"/>
        <v>103055.23050000001</v>
      </c>
      <c r="H121" s="150">
        <v>5999875.5197100006</v>
      </c>
      <c r="I121" s="157">
        <f t="shared" si="15"/>
        <v>102527.98050000001</v>
      </c>
      <c r="J121" s="106">
        <v>5969179.0247100005</v>
      </c>
      <c r="K121" s="83" t="s">
        <v>48</v>
      </c>
    </row>
    <row r="122" spans="1:11">
      <c r="A122" s="62" t="s">
        <v>53</v>
      </c>
      <c r="B122" s="74">
        <v>35.67</v>
      </c>
      <c r="C122" s="153">
        <f t="shared" si="12"/>
        <v>110850.09449999999</v>
      </c>
      <c r="D122" s="159">
        <v>3954022.870815</v>
      </c>
      <c r="E122" s="153">
        <f t="shared" si="13"/>
        <v>111377.34450000001</v>
      </c>
      <c r="F122" s="159">
        <v>3972829.8783150003</v>
      </c>
      <c r="G122" s="145">
        <f t="shared" si="14"/>
        <v>111904.59449999999</v>
      </c>
      <c r="H122" s="155">
        <v>3991636.8858150002</v>
      </c>
      <c r="I122" s="153">
        <f t="shared" si="15"/>
        <v>111377.34450000001</v>
      </c>
      <c r="J122" s="155">
        <v>3972829.8783150003</v>
      </c>
      <c r="K122" s="139" t="s">
        <v>30</v>
      </c>
    </row>
    <row r="123" spans="1:11" ht="15.75" thickBot="1">
      <c r="A123" s="68" t="s">
        <v>53</v>
      </c>
      <c r="B123" s="75">
        <v>37.090000000000003</v>
      </c>
      <c r="C123" s="160">
        <f t="shared" si="12"/>
        <v>109965.36899999999</v>
      </c>
      <c r="D123" s="161">
        <v>4078615.53621</v>
      </c>
      <c r="E123" s="160">
        <f t="shared" si="13"/>
        <v>110492.61899999999</v>
      </c>
      <c r="F123" s="161">
        <v>4098171.2387100002</v>
      </c>
      <c r="G123" s="144">
        <f t="shared" si="14"/>
        <v>111019.86899999999</v>
      </c>
      <c r="H123" s="162">
        <v>4117726.9412100003</v>
      </c>
      <c r="I123" s="160">
        <f t="shared" si="15"/>
        <v>110492.61899999999</v>
      </c>
      <c r="J123" s="162">
        <v>4098171.2387100002</v>
      </c>
      <c r="K123" s="140" t="s">
        <v>30</v>
      </c>
    </row>
  </sheetData>
  <pageMargins left="0.118110236220472" right="0.118110236220472" top="7.8740157480315001E-2" bottom="0.15748031496063" header="0.31496062992126" footer="0.31496062992126"/>
  <pageSetup paperSize="9" scale="75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4506668294322"/>
  </sheetPr>
  <dimension ref="A1:L61"/>
  <sheetViews>
    <sheetView zoomScale="90" zoomScaleNormal="90" workbookViewId="0">
      <selection activeCell="A33" sqref="A33"/>
    </sheetView>
  </sheetViews>
  <sheetFormatPr defaultColWidth="8.85546875" defaultRowHeight="15"/>
  <cols>
    <col min="1" max="1" width="45.7109375" customWidth="1"/>
    <col min="2" max="2" width="7.7109375" customWidth="1"/>
    <col min="3" max="3" width="11.7109375" customWidth="1"/>
    <col min="4" max="4" width="13.7109375" customWidth="1"/>
    <col min="5" max="5" width="13.140625" style="3" customWidth="1"/>
    <col min="6" max="6" width="12.42578125" customWidth="1"/>
    <col min="7" max="7" width="13.28515625" style="3" customWidth="1"/>
    <col min="8" max="8" width="13.140625" style="3" customWidth="1"/>
    <col min="9" max="9" width="13.28515625" style="3" customWidth="1"/>
    <col min="10" max="10" width="13.42578125" style="3" customWidth="1"/>
    <col min="11" max="11" width="28.28515625" style="3" customWidth="1"/>
    <col min="12" max="12" width="14.85546875" style="3" customWidth="1"/>
    <col min="13" max="13" width="11.85546875" customWidth="1"/>
    <col min="14" max="14" width="10.140625" customWidth="1"/>
  </cols>
  <sheetData>
    <row r="1" spans="1:12" s="1" customFormat="1" ht="27.75" customHeight="1">
      <c r="A1" s="164" t="s">
        <v>130</v>
      </c>
      <c r="E1" s="4"/>
      <c r="G1" s="4"/>
      <c r="H1" s="4"/>
      <c r="I1" s="4"/>
      <c r="J1" s="4"/>
      <c r="K1" s="4"/>
      <c r="L1" s="4"/>
    </row>
    <row r="2" spans="1:12" ht="45" customHeight="1">
      <c r="A2" s="59" t="s">
        <v>21</v>
      </c>
      <c r="B2" s="60" t="s">
        <v>22</v>
      </c>
      <c r="C2" s="61" t="s">
        <v>23</v>
      </c>
      <c r="D2" s="60" t="s">
        <v>24</v>
      </c>
      <c r="E2" s="61" t="s">
        <v>25</v>
      </c>
      <c r="F2" s="60" t="s">
        <v>24</v>
      </c>
      <c r="G2" s="61" t="s">
        <v>26</v>
      </c>
      <c r="H2" s="60" t="s">
        <v>24</v>
      </c>
      <c r="I2" s="61" t="s">
        <v>27</v>
      </c>
      <c r="J2" s="60" t="s">
        <v>24</v>
      </c>
      <c r="K2" s="76" t="s">
        <v>28</v>
      </c>
      <c r="L2" s="77"/>
    </row>
    <row r="3" spans="1:12">
      <c r="A3" s="62" t="s">
        <v>29</v>
      </c>
      <c r="B3" s="63">
        <v>56.58</v>
      </c>
      <c r="C3" s="141">
        <v>89450</v>
      </c>
      <c r="D3" s="142">
        <f>C3*B3</f>
        <v>5061081</v>
      </c>
      <c r="E3" s="141">
        <v>89950</v>
      </c>
      <c r="F3" s="142">
        <f>E3*B3</f>
        <v>5089371</v>
      </c>
      <c r="G3" s="141">
        <v>90450</v>
      </c>
      <c r="H3" s="142">
        <f>G3*B3</f>
        <v>5117661</v>
      </c>
      <c r="I3" s="141">
        <v>89950</v>
      </c>
      <c r="J3" s="142">
        <f>I3*B3</f>
        <v>5089371</v>
      </c>
      <c r="K3" s="15" t="s">
        <v>30</v>
      </c>
      <c r="L3" s="78"/>
    </row>
    <row r="4" spans="1:12">
      <c r="A4" s="62" t="s">
        <v>29</v>
      </c>
      <c r="B4" s="64">
        <v>58.22</v>
      </c>
      <c r="C4" s="141">
        <v>89000</v>
      </c>
      <c r="D4" s="143">
        <f>C4*B4</f>
        <v>5181580</v>
      </c>
      <c r="E4" s="144">
        <v>89500</v>
      </c>
      <c r="F4" s="143">
        <f>E4*B4</f>
        <v>5210690</v>
      </c>
      <c r="G4" s="144">
        <v>90000</v>
      </c>
      <c r="H4" s="143">
        <f>G4*B4</f>
        <v>5239800</v>
      </c>
      <c r="I4" s="144">
        <v>89500</v>
      </c>
      <c r="J4" s="143">
        <f>I4*B4</f>
        <v>5210690</v>
      </c>
      <c r="K4" s="79" t="s">
        <v>30</v>
      </c>
      <c r="L4" s="78"/>
    </row>
    <row r="5" spans="1:12">
      <c r="A5" s="65" t="s">
        <v>31</v>
      </c>
      <c r="B5" s="66">
        <v>21.6</v>
      </c>
      <c r="C5" s="145">
        <v>130809</v>
      </c>
      <c r="D5" s="146">
        <f t="shared" ref="D5:D30" si="0">C5*B5</f>
        <v>2825474.4000000004</v>
      </c>
      <c r="E5" s="145">
        <v>131309</v>
      </c>
      <c r="F5" s="146">
        <f t="shared" ref="F5:F30" si="1">E5*B5</f>
        <v>2836274.4000000004</v>
      </c>
      <c r="G5" s="145">
        <v>131809</v>
      </c>
      <c r="H5" s="146">
        <f t="shared" ref="H5:H30" si="2">G5*B5</f>
        <v>2847074.4000000004</v>
      </c>
      <c r="I5" s="145">
        <v>131309</v>
      </c>
      <c r="J5" s="146">
        <f t="shared" ref="J5:J30" si="3">I5*B5</f>
        <v>2836274.4000000004</v>
      </c>
      <c r="K5" s="80" t="s">
        <v>30</v>
      </c>
      <c r="L5" s="78"/>
    </row>
    <row r="6" spans="1:12">
      <c r="A6" s="67" t="s">
        <v>32</v>
      </c>
      <c r="B6" s="63">
        <v>37.549999999999997</v>
      </c>
      <c r="C6" s="147">
        <v>102831</v>
      </c>
      <c r="D6" s="148">
        <f t="shared" si="0"/>
        <v>3861304.05</v>
      </c>
      <c r="E6" s="147">
        <v>103331</v>
      </c>
      <c r="F6" s="148">
        <f t="shared" si="1"/>
        <v>3880079.05</v>
      </c>
      <c r="G6" s="147">
        <v>103831</v>
      </c>
      <c r="H6" s="148">
        <f t="shared" si="2"/>
        <v>3898854.05</v>
      </c>
      <c r="I6" s="147">
        <v>103331</v>
      </c>
      <c r="J6" s="148">
        <f t="shared" si="3"/>
        <v>3880079.05</v>
      </c>
      <c r="K6" s="15" t="s">
        <v>30</v>
      </c>
      <c r="L6" s="78"/>
    </row>
    <row r="7" spans="1:12">
      <c r="A7" s="62" t="s">
        <v>33</v>
      </c>
      <c r="B7" s="63">
        <v>56.58</v>
      </c>
      <c r="C7" s="141">
        <v>89450</v>
      </c>
      <c r="D7" s="142">
        <f t="shared" si="0"/>
        <v>5061081</v>
      </c>
      <c r="E7" s="141">
        <v>89950</v>
      </c>
      <c r="F7" s="142">
        <f t="shared" si="1"/>
        <v>5089371</v>
      </c>
      <c r="G7" s="141">
        <v>90450</v>
      </c>
      <c r="H7" s="142">
        <f t="shared" si="2"/>
        <v>5117661</v>
      </c>
      <c r="I7" s="141">
        <v>89950</v>
      </c>
      <c r="J7" s="142">
        <f t="shared" si="3"/>
        <v>5089371</v>
      </c>
      <c r="K7" s="15" t="s">
        <v>30</v>
      </c>
      <c r="L7" s="78"/>
    </row>
    <row r="8" spans="1:12">
      <c r="A8" s="68" t="s">
        <v>34</v>
      </c>
      <c r="B8" s="69">
        <v>58.22</v>
      </c>
      <c r="C8" s="149">
        <v>89000</v>
      </c>
      <c r="D8" s="150">
        <f t="shared" si="0"/>
        <v>5181580</v>
      </c>
      <c r="E8" s="149">
        <v>89500</v>
      </c>
      <c r="F8" s="150">
        <f t="shared" si="1"/>
        <v>5210690</v>
      </c>
      <c r="G8" s="149">
        <v>90000</v>
      </c>
      <c r="H8" s="106">
        <f t="shared" si="2"/>
        <v>5239800</v>
      </c>
      <c r="I8" s="144">
        <v>89500</v>
      </c>
      <c r="J8" s="143">
        <f t="shared" si="3"/>
        <v>5210690</v>
      </c>
      <c r="K8" s="79" t="s">
        <v>30</v>
      </c>
      <c r="L8" s="78"/>
    </row>
    <row r="9" spans="1:12">
      <c r="A9" s="65" t="s">
        <v>35</v>
      </c>
      <c r="B9" s="66">
        <v>21.6</v>
      </c>
      <c r="C9" s="145">
        <v>130809</v>
      </c>
      <c r="D9" s="146">
        <f t="shared" ref="D9:D12" si="4">C9*B9</f>
        <v>2825474.4000000004</v>
      </c>
      <c r="E9" s="145">
        <v>131309</v>
      </c>
      <c r="F9" s="146">
        <f t="shared" ref="F9:F12" si="5">E9*B9</f>
        <v>2836274.4000000004</v>
      </c>
      <c r="G9" s="145">
        <v>131809</v>
      </c>
      <c r="H9" s="146">
        <f t="shared" ref="H9:H12" si="6">G9*B9</f>
        <v>2847074.4000000004</v>
      </c>
      <c r="I9" s="145">
        <v>131309</v>
      </c>
      <c r="J9" s="146">
        <f t="shared" ref="J9:J12" si="7">I9*B9</f>
        <v>2836274.4000000004</v>
      </c>
      <c r="K9" s="137" t="s">
        <v>30</v>
      </c>
      <c r="L9" s="78"/>
    </row>
    <row r="10" spans="1:12">
      <c r="A10" s="67" t="s">
        <v>36</v>
      </c>
      <c r="B10" s="63">
        <v>37.549999999999997</v>
      </c>
      <c r="C10" s="147">
        <v>102831</v>
      </c>
      <c r="D10" s="148">
        <f t="shared" si="4"/>
        <v>3861304.05</v>
      </c>
      <c r="E10" s="147">
        <v>103331</v>
      </c>
      <c r="F10" s="148">
        <f t="shared" si="5"/>
        <v>3880079.05</v>
      </c>
      <c r="G10" s="147">
        <v>103831</v>
      </c>
      <c r="H10" s="148">
        <f t="shared" si="6"/>
        <v>3898854.05</v>
      </c>
      <c r="I10" s="147">
        <v>103331</v>
      </c>
      <c r="J10" s="148">
        <f t="shared" si="7"/>
        <v>3880079.05</v>
      </c>
      <c r="K10" s="111" t="s">
        <v>30</v>
      </c>
      <c r="L10" s="78"/>
    </row>
    <row r="11" spans="1:12">
      <c r="A11" s="62" t="s">
        <v>37</v>
      </c>
      <c r="B11" s="63">
        <v>56.58</v>
      </c>
      <c r="C11" s="141">
        <v>89450</v>
      </c>
      <c r="D11" s="142">
        <f t="shared" si="4"/>
        <v>5061081</v>
      </c>
      <c r="E11" s="141">
        <v>89950</v>
      </c>
      <c r="F11" s="142">
        <f t="shared" si="5"/>
        <v>5089371</v>
      </c>
      <c r="G11" s="141">
        <v>90450</v>
      </c>
      <c r="H11" s="142">
        <f t="shared" si="6"/>
        <v>5117661</v>
      </c>
      <c r="I11" s="141">
        <v>89950</v>
      </c>
      <c r="J11" s="142">
        <f t="shared" si="7"/>
        <v>5089371</v>
      </c>
      <c r="K11" s="111" t="s">
        <v>30</v>
      </c>
      <c r="L11" s="78"/>
    </row>
    <row r="12" spans="1:12">
      <c r="A12" s="68" t="s">
        <v>38</v>
      </c>
      <c r="B12" s="69">
        <v>58.22</v>
      </c>
      <c r="C12" s="149">
        <v>89000</v>
      </c>
      <c r="D12" s="150">
        <f t="shared" si="4"/>
        <v>5181580</v>
      </c>
      <c r="E12" s="149">
        <v>89500</v>
      </c>
      <c r="F12" s="150">
        <f t="shared" si="5"/>
        <v>5210690</v>
      </c>
      <c r="G12" s="149">
        <v>90000</v>
      </c>
      <c r="H12" s="106">
        <f t="shared" si="6"/>
        <v>5239800</v>
      </c>
      <c r="I12" s="144">
        <v>89500</v>
      </c>
      <c r="J12" s="143">
        <f t="shared" si="7"/>
        <v>5210690</v>
      </c>
      <c r="K12" s="138" t="s">
        <v>30</v>
      </c>
      <c r="L12" s="78"/>
    </row>
    <row r="13" spans="1:12">
      <c r="A13" s="67" t="s">
        <v>39</v>
      </c>
      <c r="B13" s="70">
        <v>21.6</v>
      </c>
      <c r="C13" s="151">
        <v>143433</v>
      </c>
      <c r="D13" s="152">
        <f t="shared" si="0"/>
        <v>3098152.8000000003</v>
      </c>
      <c r="E13" s="151">
        <v>143933</v>
      </c>
      <c r="F13" s="152">
        <f t="shared" si="1"/>
        <v>3108952.8000000003</v>
      </c>
      <c r="G13" s="151">
        <v>144433</v>
      </c>
      <c r="H13" s="152">
        <f t="shared" si="2"/>
        <v>3119752.8000000003</v>
      </c>
      <c r="I13" s="151">
        <v>143933</v>
      </c>
      <c r="J13" s="152">
        <f t="shared" si="3"/>
        <v>3108952.8000000003</v>
      </c>
      <c r="K13" s="112" t="s">
        <v>30</v>
      </c>
      <c r="L13" s="78"/>
    </row>
    <row r="14" spans="1:12">
      <c r="A14" s="62" t="s">
        <v>41</v>
      </c>
      <c r="B14" s="63">
        <v>37.549999999999997</v>
      </c>
      <c r="C14" s="151">
        <v>115335</v>
      </c>
      <c r="D14" s="152">
        <f t="shared" si="0"/>
        <v>4330829.25</v>
      </c>
      <c r="E14" s="151">
        <v>115835</v>
      </c>
      <c r="F14" s="152">
        <f t="shared" si="1"/>
        <v>4349604.25</v>
      </c>
      <c r="G14" s="151">
        <v>116335</v>
      </c>
      <c r="H14" s="152">
        <f t="shared" si="2"/>
        <v>4368379.25</v>
      </c>
      <c r="I14" s="151">
        <v>115835</v>
      </c>
      <c r="J14" s="152">
        <f t="shared" si="3"/>
        <v>4349604.25</v>
      </c>
      <c r="K14" s="25" t="s">
        <v>40</v>
      </c>
      <c r="L14" s="81"/>
    </row>
    <row r="15" spans="1:12">
      <c r="A15" s="62" t="s">
        <v>42</v>
      </c>
      <c r="B15" s="63">
        <v>56.58</v>
      </c>
      <c r="C15" s="151">
        <v>99553</v>
      </c>
      <c r="D15" s="152">
        <f t="shared" si="0"/>
        <v>5632708.7400000002</v>
      </c>
      <c r="E15" s="151">
        <v>100053</v>
      </c>
      <c r="F15" s="152">
        <f t="shared" si="1"/>
        <v>5660998.7400000002</v>
      </c>
      <c r="G15" s="151">
        <v>100553</v>
      </c>
      <c r="H15" s="152">
        <f t="shared" si="2"/>
        <v>5689288.7400000002</v>
      </c>
      <c r="I15" s="151">
        <v>100053</v>
      </c>
      <c r="J15" s="152">
        <f t="shared" si="3"/>
        <v>5660998.7400000002</v>
      </c>
      <c r="K15" s="25" t="s">
        <v>40</v>
      </c>
      <c r="L15" s="78"/>
    </row>
    <row r="16" spans="1:12">
      <c r="A16" s="68" t="s">
        <v>42</v>
      </c>
      <c r="B16" s="69">
        <v>58.22</v>
      </c>
      <c r="C16" s="149">
        <v>98879</v>
      </c>
      <c r="D16" s="150">
        <f t="shared" si="0"/>
        <v>5756735.3799999999</v>
      </c>
      <c r="E16" s="149">
        <v>99879</v>
      </c>
      <c r="F16" s="150">
        <f t="shared" si="1"/>
        <v>5814955.3799999999</v>
      </c>
      <c r="G16" s="149">
        <v>99879</v>
      </c>
      <c r="H16" s="150">
        <f t="shared" si="2"/>
        <v>5814955.3799999999</v>
      </c>
      <c r="I16" s="149">
        <v>99379</v>
      </c>
      <c r="J16" s="106">
        <f t="shared" si="3"/>
        <v>5785845.3799999999</v>
      </c>
      <c r="K16" s="18" t="s">
        <v>40</v>
      </c>
      <c r="L16" s="78"/>
    </row>
    <row r="17" spans="1:12" ht="18.75" customHeight="1">
      <c r="A17" s="67" t="s">
        <v>43</v>
      </c>
      <c r="B17" s="70">
        <v>21.6</v>
      </c>
      <c r="C17" s="151">
        <v>132124</v>
      </c>
      <c r="D17" s="152">
        <f t="shared" si="0"/>
        <v>2853878.4000000004</v>
      </c>
      <c r="E17" s="151">
        <v>132624</v>
      </c>
      <c r="F17" s="152">
        <f t="shared" si="1"/>
        <v>2864678.4000000004</v>
      </c>
      <c r="G17" s="151">
        <v>133124</v>
      </c>
      <c r="H17" s="152">
        <f t="shared" si="2"/>
        <v>2875478.4000000004</v>
      </c>
      <c r="I17" s="151">
        <v>132624</v>
      </c>
      <c r="J17" s="152">
        <f t="shared" si="3"/>
        <v>2864678.4000000004</v>
      </c>
      <c r="K17" s="112" t="s">
        <v>30</v>
      </c>
      <c r="L17" s="78"/>
    </row>
    <row r="18" spans="1:12">
      <c r="A18" s="62" t="s">
        <v>44</v>
      </c>
      <c r="B18" s="63">
        <v>37.549999999999997</v>
      </c>
      <c r="C18" s="151">
        <v>108158</v>
      </c>
      <c r="D18" s="152">
        <f t="shared" si="0"/>
        <v>4061332.9</v>
      </c>
      <c r="E18" s="151">
        <v>108658</v>
      </c>
      <c r="F18" s="152">
        <f t="shared" si="1"/>
        <v>4080107.9</v>
      </c>
      <c r="G18" s="151">
        <v>109158</v>
      </c>
      <c r="H18" s="152">
        <f t="shared" si="2"/>
        <v>4098882.9</v>
      </c>
      <c r="I18" s="151">
        <v>108658</v>
      </c>
      <c r="J18" s="152">
        <f t="shared" si="3"/>
        <v>4080107.9</v>
      </c>
      <c r="K18" s="112" t="s">
        <v>30</v>
      </c>
      <c r="L18" s="78"/>
    </row>
    <row r="19" spans="1:12">
      <c r="A19" s="62" t="s">
        <v>45</v>
      </c>
      <c r="B19" s="63">
        <v>56.58</v>
      </c>
      <c r="C19" s="151">
        <v>94769</v>
      </c>
      <c r="D19" s="152">
        <f t="shared" si="0"/>
        <v>5362030.0199999996</v>
      </c>
      <c r="E19" s="151">
        <v>95269</v>
      </c>
      <c r="F19" s="152">
        <f t="shared" si="1"/>
        <v>5390320.0199999996</v>
      </c>
      <c r="G19" s="151">
        <v>95769</v>
      </c>
      <c r="H19" s="152">
        <f t="shared" si="2"/>
        <v>5418610.0199999996</v>
      </c>
      <c r="I19" s="151">
        <v>95269</v>
      </c>
      <c r="J19" s="152">
        <f t="shared" si="3"/>
        <v>5390320.0199999996</v>
      </c>
      <c r="K19" s="112" t="s">
        <v>30</v>
      </c>
      <c r="L19" s="78"/>
    </row>
    <row r="20" spans="1:12">
      <c r="A20" s="68" t="s">
        <v>45</v>
      </c>
      <c r="B20" s="69">
        <v>58.22</v>
      </c>
      <c r="C20" s="149">
        <v>94194</v>
      </c>
      <c r="D20" s="150">
        <f t="shared" si="0"/>
        <v>5483974.6799999997</v>
      </c>
      <c r="E20" s="149">
        <v>94694</v>
      </c>
      <c r="F20" s="150">
        <f t="shared" si="1"/>
        <v>5513084.6799999997</v>
      </c>
      <c r="G20" s="149">
        <v>95194</v>
      </c>
      <c r="H20" s="150">
        <f t="shared" si="2"/>
        <v>5542194.6799999997</v>
      </c>
      <c r="I20" s="149">
        <v>94694</v>
      </c>
      <c r="J20" s="106">
        <f t="shared" si="3"/>
        <v>5513084.6799999997</v>
      </c>
      <c r="K20" s="113" t="s">
        <v>30</v>
      </c>
      <c r="L20" s="78"/>
    </row>
    <row r="21" spans="1:12">
      <c r="A21" s="67" t="s">
        <v>46</v>
      </c>
      <c r="B21" s="70">
        <v>21.6</v>
      </c>
      <c r="C21" s="151">
        <v>132124</v>
      </c>
      <c r="D21" s="152">
        <f t="shared" si="0"/>
        <v>2853878.4000000004</v>
      </c>
      <c r="E21" s="151">
        <v>132624</v>
      </c>
      <c r="F21" s="152">
        <f t="shared" si="1"/>
        <v>2864678.4000000004</v>
      </c>
      <c r="G21" s="151">
        <v>133124</v>
      </c>
      <c r="H21" s="152">
        <f t="shared" si="2"/>
        <v>2875478.4000000004</v>
      </c>
      <c r="I21" s="151">
        <v>132624</v>
      </c>
      <c r="J21" s="152">
        <f t="shared" si="3"/>
        <v>2864678.4000000004</v>
      </c>
      <c r="K21" s="112" t="s">
        <v>30</v>
      </c>
      <c r="L21" s="78"/>
    </row>
    <row r="22" spans="1:12">
      <c r="A22" s="62" t="s">
        <v>47</v>
      </c>
      <c r="B22" s="63">
        <v>37.549999999999997</v>
      </c>
      <c r="C22" s="151">
        <v>113485</v>
      </c>
      <c r="D22" s="152">
        <f t="shared" si="0"/>
        <v>4261361.75</v>
      </c>
      <c r="E22" s="151">
        <v>113984</v>
      </c>
      <c r="F22" s="152">
        <f t="shared" si="1"/>
        <v>4280099.1999999993</v>
      </c>
      <c r="G22" s="151">
        <v>114484</v>
      </c>
      <c r="H22" s="152">
        <f t="shared" si="2"/>
        <v>4298874.1999999993</v>
      </c>
      <c r="I22" s="151">
        <v>113984</v>
      </c>
      <c r="J22" s="152">
        <f t="shared" si="3"/>
        <v>4280099.1999999993</v>
      </c>
      <c r="K22" s="25" t="s">
        <v>48</v>
      </c>
      <c r="L22" s="81"/>
    </row>
    <row r="23" spans="1:12">
      <c r="A23" s="62" t="s">
        <v>49</v>
      </c>
      <c r="B23" s="63">
        <v>56.58</v>
      </c>
      <c r="C23" s="151">
        <v>97403</v>
      </c>
      <c r="D23" s="152">
        <f t="shared" si="0"/>
        <v>5511061.7400000002</v>
      </c>
      <c r="E23" s="151">
        <v>97903</v>
      </c>
      <c r="F23" s="152">
        <f t="shared" si="1"/>
        <v>5539351.7400000002</v>
      </c>
      <c r="G23" s="151">
        <v>98403</v>
      </c>
      <c r="H23" s="152">
        <f t="shared" si="2"/>
        <v>5567641.7400000002</v>
      </c>
      <c r="I23" s="151">
        <v>97903</v>
      </c>
      <c r="J23" s="152">
        <f t="shared" si="3"/>
        <v>5539351.7400000002</v>
      </c>
      <c r="K23" s="25" t="s">
        <v>48</v>
      </c>
      <c r="L23" s="78"/>
    </row>
    <row r="24" spans="1:12" ht="16.5" customHeight="1">
      <c r="A24" s="68" t="s">
        <v>49</v>
      </c>
      <c r="B24" s="69">
        <v>58.22</v>
      </c>
      <c r="C24" s="149">
        <v>96729</v>
      </c>
      <c r="D24" s="150">
        <f t="shared" si="0"/>
        <v>5631562.3799999999</v>
      </c>
      <c r="E24" s="149">
        <v>97229</v>
      </c>
      <c r="F24" s="150">
        <f t="shared" si="1"/>
        <v>5660672.3799999999</v>
      </c>
      <c r="G24" s="149">
        <v>97729</v>
      </c>
      <c r="H24" s="150">
        <f t="shared" si="2"/>
        <v>5689782.3799999999</v>
      </c>
      <c r="I24" s="149">
        <v>97229</v>
      </c>
      <c r="J24" s="106">
        <f t="shared" si="3"/>
        <v>5660672.3799999999</v>
      </c>
      <c r="K24" s="18" t="s">
        <v>48</v>
      </c>
      <c r="L24" s="78"/>
    </row>
    <row r="25" spans="1:12">
      <c r="A25" s="67" t="s">
        <v>50</v>
      </c>
      <c r="B25" s="71">
        <v>21.6</v>
      </c>
      <c r="C25" s="153">
        <v>141383</v>
      </c>
      <c r="D25" s="154">
        <f t="shared" si="0"/>
        <v>3053872.8000000003</v>
      </c>
      <c r="E25" s="153">
        <v>141883</v>
      </c>
      <c r="F25" s="154">
        <f t="shared" si="1"/>
        <v>3064672.8000000003</v>
      </c>
      <c r="G25" s="145">
        <v>142383</v>
      </c>
      <c r="H25" s="152">
        <f t="shared" si="2"/>
        <v>3075472.8000000003</v>
      </c>
      <c r="I25" s="153">
        <v>141883</v>
      </c>
      <c r="J25" s="155">
        <f t="shared" si="3"/>
        <v>3064672.8000000003</v>
      </c>
      <c r="K25" s="82" t="s">
        <v>48</v>
      </c>
      <c r="L25" s="78"/>
    </row>
    <row r="26" spans="1:12">
      <c r="A26" s="62" t="s">
        <v>51</v>
      </c>
      <c r="B26" s="72">
        <v>37.549999999999997</v>
      </c>
      <c r="C26" s="156">
        <v>113485</v>
      </c>
      <c r="D26" s="154">
        <f t="shared" si="0"/>
        <v>4261361.75</v>
      </c>
      <c r="E26" s="156">
        <v>113985</v>
      </c>
      <c r="F26" s="154">
        <f t="shared" si="1"/>
        <v>4280136.75</v>
      </c>
      <c r="G26" s="151">
        <v>114484</v>
      </c>
      <c r="H26" s="152">
        <f t="shared" si="2"/>
        <v>4298874.1999999993</v>
      </c>
      <c r="I26" s="156">
        <v>113984</v>
      </c>
      <c r="J26" s="107">
        <f t="shared" si="3"/>
        <v>4280099.1999999993</v>
      </c>
      <c r="K26" s="82" t="s">
        <v>48</v>
      </c>
      <c r="L26" s="81"/>
    </row>
    <row r="27" spans="1:12">
      <c r="A27" s="62" t="s">
        <v>52</v>
      </c>
      <c r="B27" s="72">
        <v>56.58</v>
      </c>
      <c r="C27" s="156">
        <v>97403</v>
      </c>
      <c r="D27" s="154">
        <f t="shared" si="0"/>
        <v>5511061.7400000002</v>
      </c>
      <c r="E27" s="156">
        <v>97903</v>
      </c>
      <c r="F27" s="154">
        <f t="shared" si="1"/>
        <v>5539351.7400000002</v>
      </c>
      <c r="G27" s="151">
        <v>98403</v>
      </c>
      <c r="H27" s="152">
        <f t="shared" si="2"/>
        <v>5567641.7400000002</v>
      </c>
      <c r="I27" s="156">
        <v>97903</v>
      </c>
      <c r="J27" s="107">
        <f t="shared" si="3"/>
        <v>5539351.7400000002</v>
      </c>
      <c r="K27" s="82" t="s">
        <v>48</v>
      </c>
      <c r="L27" s="78"/>
    </row>
    <row r="28" spans="1:12">
      <c r="A28" s="68" t="s">
        <v>52</v>
      </c>
      <c r="B28" s="73">
        <v>58.22</v>
      </c>
      <c r="C28" s="157">
        <v>96729</v>
      </c>
      <c r="D28" s="158">
        <f t="shared" si="0"/>
        <v>5631562.3799999999</v>
      </c>
      <c r="E28" s="157">
        <v>97229</v>
      </c>
      <c r="F28" s="158">
        <f t="shared" si="1"/>
        <v>5660672.3799999999</v>
      </c>
      <c r="G28" s="149">
        <v>97729</v>
      </c>
      <c r="H28" s="150">
        <f t="shared" si="2"/>
        <v>5689782.3799999999</v>
      </c>
      <c r="I28" s="157">
        <v>97229</v>
      </c>
      <c r="J28" s="106">
        <f t="shared" si="3"/>
        <v>5660672.3799999999</v>
      </c>
      <c r="K28" s="83" t="s">
        <v>48</v>
      </c>
      <c r="L28" s="78"/>
    </row>
    <row r="29" spans="1:12">
      <c r="A29" s="62" t="s">
        <v>53</v>
      </c>
      <c r="B29" s="74">
        <v>35.67</v>
      </c>
      <c r="C29" s="153">
        <v>105121</v>
      </c>
      <c r="D29" s="159">
        <f t="shared" si="0"/>
        <v>3749666.0700000003</v>
      </c>
      <c r="E29" s="153">
        <v>105621</v>
      </c>
      <c r="F29" s="159">
        <f t="shared" si="1"/>
        <v>3767501.0700000003</v>
      </c>
      <c r="G29" s="145">
        <v>106121</v>
      </c>
      <c r="H29" s="155">
        <f t="shared" si="2"/>
        <v>3785336.0700000003</v>
      </c>
      <c r="I29" s="153">
        <v>105621</v>
      </c>
      <c r="J29" s="155">
        <f t="shared" si="3"/>
        <v>3767501.0700000003</v>
      </c>
      <c r="K29" s="139" t="s">
        <v>30</v>
      </c>
      <c r="L29" s="78"/>
    </row>
    <row r="30" spans="1:12">
      <c r="A30" s="68" t="s">
        <v>53</v>
      </c>
      <c r="B30" s="75">
        <v>37.090000000000003</v>
      </c>
      <c r="C30" s="160">
        <v>104282</v>
      </c>
      <c r="D30" s="161">
        <f t="shared" si="0"/>
        <v>3867819.3800000004</v>
      </c>
      <c r="E30" s="160">
        <v>104782</v>
      </c>
      <c r="F30" s="161">
        <f t="shared" si="1"/>
        <v>3886364.3800000004</v>
      </c>
      <c r="G30" s="144">
        <v>105282</v>
      </c>
      <c r="H30" s="162">
        <f t="shared" si="2"/>
        <v>3904909.3800000004</v>
      </c>
      <c r="I30" s="160">
        <v>104782</v>
      </c>
      <c r="J30" s="162">
        <f t="shared" si="3"/>
        <v>3886364.3800000004</v>
      </c>
      <c r="K30" s="140" t="s">
        <v>30</v>
      </c>
      <c r="L30" s="78"/>
    </row>
    <row r="31" spans="1:12">
      <c r="D31" s="34"/>
    </row>
    <row r="32" spans="1:12" ht="19.5" thickBot="1">
      <c r="A32" s="164" t="s">
        <v>131</v>
      </c>
      <c r="B32" s="1"/>
      <c r="C32" s="1"/>
      <c r="D32" s="1"/>
      <c r="E32" s="4"/>
      <c r="F32" s="1"/>
      <c r="G32" s="4"/>
      <c r="H32" s="4"/>
      <c r="I32" s="4"/>
      <c r="J32" s="4"/>
      <c r="K32" s="4"/>
    </row>
    <row r="33" spans="1:11" ht="37.5" customHeight="1">
      <c r="A33" s="59" t="s">
        <v>21</v>
      </c>
      <c r="B33" s="60" t="s">
        <v>22</v>
      </c>
      <c r="C33" s="61" t="s">
        <v>23</v>
      </c>
      <c r="D33" s="60" t="s">
        <v>24</v>
      </c>
      <c r="E33" s="61" t="s">
        <v>25</v>
      </c>
      <c r="F33" s="60" t="s">
        <v>24</v>
      </c>
      <c r="G33" s="61" t="s">
        <v>26</v>
      </c>
      <c r="H33" s="60" t="s">
        <v>24</v>
      </c>
      <c r="I33" s="61" t="s">
        <v>27</v>
      </c>
      <c r="J33" s="60" t="s">
        <v>24</v>
      </c>
      <c r="K33" s="76" t="s">
        <v>28</v>
      </c>
    </row>
    <row r="34" spans="1:11">
      <c r="A34" s="62" t="s">
        <v>29</v>
      </c>
      <c r="B34" s="63">
        <v>56.58</v>
      </c>
      <c r="C34" s="141">
        <f>D34/B34</f>
        <v>84977.5</v>
      </c>
      <c r="D34" s="142">
        <v>4808026.95</v>
      </c>
      <c r="E34" s="141">
        <f>F34/B34</f>
        <v>85452.5</v>
      </c>
      <c r="F34" s="142">
        <v>4834902.45</v>
      </c>
      <c r="G34" s="141">
        <f>H34/B34</f>
        <v>85927.5</v>
      </c>
      <c r="H34" s="142">
        <v>4861777.95</v>
      </c>
      <c r="I34" s="141">
        <f>J34/B34</f>
        <v>85452.5</v>
      </c>
      <c r="J34" s="142">
        <v>4834902.45</v>
      </c>
      <c r="K34" s="15" t="s">
        <v>30</v>
      </c>
    </row>
    <row r="35" spans="1:11">
      <c r="A35" s="62" t="s">
        <v>29</v>
      </c>
      <c r="B35" s="64">
        <v>58.22</v>
      </c>
      <c r="C35" s="141">
        <f t="shared" ref="C35:C61" si="8">D35/B35</f>
        <v>84550</v>
      </c>
      <c r="D35" s="143">
        <v>4922501</v>
      </c>
      <c r="E35" s="144">
        <f t="shared" ref="E35:E61" si="9">F35/B35</f>
        <v>85025</v>
      </c>
      <c r="F35" s="143">
        <v>4950155.5</v>
      </c>
      <c r="G35" s="144">
        <f t="shared" ref="G35:G61" si="10">H35/B35</f>
        <v>85500</v>
      </c>
      <c r="H35" s="143">
        <v>4977810</v>
      </c>
      <c r="I35" s="144">
        <f t="shared" ref="I35:I61" si="11">J35/B35</f>
        <v>85025</v>
      </c>
      <c r="J35" s="143">
        <v>4950155.5</v>
      </c>
      <c r="K35" s="79" t="s">
        <v>30</v>
      </c>
    </row>
    <row r="36" spans="1:11">
      <c r="A36" s="65" t="s">
        <v>31</v>
      </c>
      <c r="B36" s="66">
        <v>21.6</v>
      </c>
      <c r="C36" s="145">
        <f t="shared" si="8"/>
        <v>124268.55</v>
      </c>
      <c r="D36" s="146">
        <v>2684200.6800000002</v>
      </c>
      <c r="E36" s="145">
        <f t="shared" si="9"/>
        <v>124743.55</v>
      </c>
      <c r="F36" s="146">
        <v>2694460.68</v>
      </c>
      <c r="G36" s="145">
        <f t="shared" si="10"/>
        <v>125218.55</v>
      </c>
      <c r="H36" s="146">
        <v>2704720.68</v>
      </c>
      <c r="I36" s="145">
        <f t="shared" si="11"/>
        <v>124743.55</v>
      </c>
      <c r="J36" s="146">
        <v>2694460.68</v>
      </c>
      <c r="K36" s="80" t="s">
        <v>30</v>
      </c>
    </row>
    <row r="37" spans="1:11">
      <c r="A37" s="67" t="s">
        <v>32</v>
      </c>
      <c r="B37" s="63">
        <v>37.549999999999997</v>
      </c>
      <c r="C37" s="147">
        <f t="shared" si="8"/>
        <v>97689.450000000012</v>
      </c>
      <c r="D37" s="148">
        <v>3668238.8475000001</v>
      </c>
      <c r="E37" s="147">
        <f t="shared" si="9"/>
        <v>98164.450000000012</v>
      </c>
      <c r="F37" s="148">
        <v>3686075.0975000001</v>
      </c>
      <c r="G37" s="147">
        <f t="shared" si="10"/>
        <v>98639.450000000012</v>
      </c>
      <c r="H37" s="148">
        <v>3703911.3475000001</v>
      </c>
      <c r="I37" s="147">
        <f t="shared" si="11"/>
        <v>98164.450000000012</v>
      </c>
      <c r="J37" s="148">
        <v>3686075.0975000001</v>
      </c>
      <c r="K37" s="15" t="s">
        <v>30</v>
      </c>
    </row>
    <row r="38" spans="1:11">
      <c r="A38" s="62" t="s">
        <v>33</v>
      </c>
      <c r="B38" s="63">
        <v>56.58</v>
      </c>
      <c r="C38" s="141">
        <f t="shared" si="8"/>
        <v>84977.5</v>
      </c>
      <c r="D38" s="142">
        <v>4808026.95</v>
      </c>
      <c r="E38" s="141">
        <f t="shared" si="9"/>
        <v>85452.5</v>
      </c>
      <c r="F38" s="142">
        <v>4834902.45</v>
      </c>
      <c r="G38" s="141">
        <f t="shared" si="10"/>
        <v>85927.5</v>
      </c>
      <c r="H38" s="142">
        <v>4861777.95</v>
      </c>
      <c r="I38" s="141">
        <f t="shared" si="11"/>
        <v>85452.5</v>
      </c>
      <c r="J38" s="142">
        <v>4834902.45</v>
      </c>
      <c r="K38" s="15" t="s">
        <v>30</v>
      </c>
    </row>
    <row r="39" spans="1:11">
      <c r="A39" s="68" t="s">
        <v>34</v>
      </c>
      <c r="B39" s="69">
        <v>58.22</v>
      </c>
      <c r="C39" s="149">
        <f t="shared" si="8"/>
        <v>84550</v>
      </c>
      <c r="D39" s="150">
        <v>4922501</v>
      </c>
      <c r="E39" s="149">
        <f t="shared" si="9"/>
        <v>85025</v>
      </c>
      <c r="F39" s="150">
        <v>4950155.5</v>
      </c>
      <c r="G39" s="149">
        <f t="shared" si="10"/>
        <v>85500</v>
      </c>
      <c r="H39" s="106">
        <v>4977810</v>
      </c>
      <c r="I39" s="144">
        <f t="shared" si="11"/>
        <v>85025</v>
      </c>
      <c r="J39" s="143">
        <v>4950155.5</v>
      </c>
      <c r="K39" s="79" t="s">
        <v>30</v>
      </c>
    </row>
    <row r="40" spans="1:11">
      <c r="A40" s="65" t="s">
        <v>35</v>
      </c>
      <c r="B40" s="66">
        <v>21.6</v>
      </c>
      <c r="C40" s="145">
        <f t="shared" si="8"/>
        <v>124268.55</v>
      </c>
      <c r="D40" s="146">
        <v>2684200.6800000002</v>
      </c>
      <c r="E40" s="145">
        <f t="shared" si="9"/>
        <v>124743.55</v>
      </c>
      <c r="F40" s="146">
        <v>2694460.68</v>
      </c>
      <c r="G40" s="145">
        <f t="shared" si="10"/>
        <v>125218.55</v>
      </c>
      <c r="H40" s="146">
        <v>2704720.68</v>
      </c>
      <c r="I40" s="145">
        <f t="shared" si="11"/>
        <v>124743.55</v>
      </c>
      <c r="J40" s="146">
        <v>2694460.68</v>
      </c>
      <c r="K40" s="137" t="s">
        <v>30</v>
      </c>
    </row>
    <row r="41" spans="1:11">
      <c r="A41" s="67" t="s">
        <v>36</v>
      </c>
      <c r="B41" s="63">
        <v>37.549999999999997</v>
      </c>
      <c r="C41" s="147">
        <f t="shared" si="8"/>
        <v>97689.450000000012</v>
      </c>
      <c r="D41" s="148">
        <v>3668238.8475000001</v>
      </c>
      <c r="E41" s="147">
        <f t="shared" si="9"/>
        <v>98164.450000000012</v>
      </c>
      <c r="F41" s="148">
        <v>3686075.0975000001</v>
      </c>
      <c r="G41" s="147">
        <f t="shared" si="10"/>
        <v>98639.450000000012</v>
      </c>
      <c r="H41" s="148">
        <v>3703911.3475000001</v>
      </c>
      <c r="I41" s="147">
        <f t="shared" si="11"/>
        <v>98164.450000000012</v>
      </c>
      <c r="J41" s="148">
        <v>3686075.0975000001</v>
      </c>
      <c r="K41" s="111" t="s">
        <v>30</v>
      </c>
    </row>
    <row r="42" spans="1:11">
      <c r="A42" s="62" t="s">
        <v>37</v>
      </c>
      <c r="B42" s="63">
        <v>56.58</v>
      </c>
      <c r="C42" s="141">
        <f t="shared" si="8"/>
        <v>84977.5</v>
      </c>
      <c r="D42" s="142">
        <v>4808026.95</v>
      </c>
      <c r="E42" s="141">
        <f t="shared" si="9"/>
        <v>85452.5</v>
      </c>
      <c r="F42" s="142">
        <v>4834902.45</v>
      </c>
      <c r="G42" s="141">
        <f t="shared" si="10"/>
        <v>85927.5</v>
      </c>
      <c r="H42" s="142">
        <v>4861777.95</v>
      </c>
      <c r="I42" s="141">
        <f t="shared" si="11"/>
        <v>85452.5</v>
      </c>
      <c r="J42" s="142">
        <v>4834902.45</v>
      </c>
      <c r="K42" s="111" t="s">
        <v>30</v>
      </c>
    </row>
    <row r="43" spans="1:11">
      <c r="A43" s="68" t="s">
        <v>38</v>
      </c>
      <c r="B43" s="69">
        <v>58.22</v>
      </c>
      <c r="C43" s="149">
        <f t="shared" si="8"/>
        <v>84550</v>
      </c>
      <c r="D43" s="150">
        <v>4922501</v>
      </c>
      <c r="E43" s="149">
        <f t="shared" si="9"/>
        <v>85025</v>
      </c>
      <c r="F43" s="150">
        <v>4950155.5</v>
      </c>
      <c r="G43" s="149">
        <f t="shared" si="10"/>
        <v>85500</v>
      </c>
      <c r="H43" s="106">
        <v>4977810</v>
      </c>
      <c r="I43" s="144">
        <f t="shared" si="11"/>
        <v>85025</v>
      </c>
      <c r="J43" s="143">
        <v>4950155.5</v>
      </c>
      <c r="K43" s="138" t="s">
        <v>30</v>
      </c>
    </row>
    <row r="44" spans="1:11">
      <c r="A44" s="67" t="s">
        <v>39</v>
      </c>
      <c r="B44" s="70">
        <v>21.6</v>
      </c>
      <c r="C44" s="151">
        <f t="shared" si="8"/>
        <v>136261.35</v>
      </c>
      <c r="D44" s="152">
        <v>2943245.16</v>
      </c>
      <c r="E44" s="151">
        <f t="shared" si="9"/>
        <v>136736.35</v>
      </c>
      <c r="F44" s="152">
        <v>2953505.16</v>
      </c>
      <c r="G44" s="151">
        <f t="shared" si="10"/>
        <v>137211.35</v>
      </c>
      <c r="H44" s="152">
        <v>2963765.16</v>
      </c>
      <c r="I44" s="151">
        <f t="shared" si="11"/>
        <v>136736.35</v>
      </c>
      <c r="J44" s="152">
        <v>2953505.16</v>
      </c>
      <c r="K44" s="112" t="s">
        <v>30</v>
      </c>
    </row>
    <row r="45" spans="1:11">
      <c r="A45" s="62" t="s">
        <v>41</v>
      </c>
      <c r="B45" s="63">
        <v>37.549999999999997</v>
      </c>
      <c r="C45" s="151">
        <f t="shared" si="8"/>
        <v>109568.25000000001</v>
      </c>
      <c r="D45" s="152">
        <v>4114287.7875000001</v>
      </c>
      <c r="E45" s="151">
        <f t="shared" si="9"/>
        <v>110043.25000000001</v>
      </c>
      <c r="F45" s="152">
        <v>4132124.0375000001</v>
      </c>
      <c r="G45" s="151">
        <f t="shared" si="10"/>
        <v>110518.25000000001</v>
      </c>
      <c r="H45" s="152">
        <v>4149960.2875000001</v>
      </c>
      <c r="I45" s="151">
        <f t="shared" si="11"/>
        <v>110043.25000000001</v>
      </c>
      <c r="J45" s="152">
        <v>4132124.0375000001</v>
      </c>
      <c r="K45" s="25" t="s">
        <v>40</v>
      </c>
    </row>
    <row r="46" spans="1:11">
      <c r="A46" s="62" t="s">
        <v>42</v>
      </c>
      <c r="B46" s="63">
        <v>56.58</v>
      </c>
      <c r="C46" s="151">
        <f t="shared" si="8"/>
        <v>94575.35</v>
      </c>
      <c r="D46" s="152">
        <v>5351073.3030000003</v>
      </c>
      <c r="E46" s="151">
        <f t="shared" si="9"/>
        <v>95050.35</v>
      </c>
      <c r="F46" s="152">
        <v>5377948.8030000003</v>
      </c>
      <c r="G46" s="151">
        <f t="shared" si="10"/>
        <v>95525.35</v>
      </c>
      <c r="H46" s="152">
        <v>5404824.3030000003</v>
      </c>
      <c r="I46" s="151">
        <f t="shared" si="11"/>
        <v>95050.35</v>
      </c>
      <c r="J46" s="152">
        <v>5377948.8030000003</v>
      </c>
      <c r="K46" s="25" t="s">
        <v>40</v>
      </c>
    </row>
    <row r="47" spans="1:11">
      <c r="A47" s="68" t="s">
        <v>42</v>
      </c>
      <c r="B47" s="69">
        <v>58.22</v>
      </c>
      <c r="C47" s="149">
        <f t="shared" si="8"/>
        <v>93935.049999999988</v>
      </c>
      <c r="D47" s="150">
        <v>5468898.6109999996</v>
      </c>
      <c r="E47" s="149">
        <f t="shared" si="9"/>
        <v>94885.049999999988</v>
      </c>
      <c r="F47" s="150">
        <v>5524207.6109999996</v>
      </c>
      <c r="G47" s="149">
        <f t="shared" si="10"/>
        <v>94885.049999999988</v>
      </c>
      <c r="H47" s="150">
        <v>5524207.6109999996</v>
      </c>
      <c r="I47" s="149">
        <f t="shared" si="11"/>
        <v>94410.049999999988</v>
      </c>
      <c r="J47" s="106">
        <v>5496553.1109999996</v>
      </c>
      <c r="K47" s="18" t="s">
        <v>40</v>
      </c>
    </row>
    <row r="48" spans="1:11">
      <c r="A48" s="67" t="s">
        <v>43</v>
      </c>
      <c r="B48" s="70">
        <v>21.6</v>
      </c>
      <c r="C48" s="151">
        <f t="shared" si="8"/>
        <v>125517.79999999999</v>
      </c>
      <c r="D48" s="152">
        <v>2711184.48</v>
      </c>
      <c r="E48" s="151">
        <f t="shared" si="9"/>
        <v>125992.79999999999</v>
      </c>
      <c r="F48" s="152">
        <v>2721444.48</v>
      </c>
      <c r="G48" s="151">
        <f t="shared" si="10"/>
        <v>126467.79999999999</v>
      </c>
      <c r="H48" s="152">
        <v>2731704.48</v>
      </c>
      <c r="I48" s="151">
        <f t="shared" si="11"/>
        <v>125992.79999999999</v>
      </c>
      <c r="J48" s="152">
        <v>2721444.48</v>
      </c>
      <c r="K48" s="112" t="s">
        <v>30</v>
      </c>
    </row>
    <row r="49" spans="1:11">
      <c r="A49" s="62" t="s">
        <v>44</v>
      </c>
      <c r="B49" s="63">
        <v>37.549999999999997</v>
      </c>
      <c r="C49" s="151">
        <f t="shared" si="8"/>
        <v>102750.1</v>
      </c>
      <c r="D49" s="152">
        <v>3858266.2549999999</v>
      </c>
      <c r="E49" s="151">
        <f t="shared" si="9"/>
        <v>103225.1</v>
      </c>
      <c r="F49" s="152">
        <v>3876102.5049999999</v>
      </c>
      <c r="G49" s="151">
        <f t="shared" si="10"/>
        <v>103700.1</v>
      </c>
      <c r="H49" s="152">
        <v>3893938.7549999999</v>
      </c>
      <c r="I49" s="151">
        <f t="shared" si="11"/>
        <v>103225.1</v>
      </c>
      <c r="J49" s="152">
        <v>3876102.5049999999</v>
      </c>
      <c r="K49" s="112" t="s">
        <v>30</v>
      </c>
    </row>
    <row r="50" spans="1:11">
      <c r="A50" s="62" t="s">
        <v>45</v>
      </c>
      <c r="B50" s="63">
        <v>56.58</v>
      </c>
      <c r="C50" s="151">
        <f t="shared" si="8"/>
        <v>90030.55</v>
      </c>
      <c r="D50" s="152">
        <v>5093928.5190000003</v>
      </c>
      <c r="E50" s="151">
        <f t="shared" si="9"/>
        <v>90505.55</v>
      </c>
      <c r="F50" s="152">
        <v>5120804.0190000003</v>
      </c>
      <c r="G50" s="151">
        <f t="shared" si="10"/>
        <v>90980.55</v>
      </c>
      <c r="H50" s="152">
        <v>5147679.5190000003</v>
      </c>
      <c r="I50" s="151">
        <f t="shared" si="11"/>
        <v>90505.55</v>
      </c>
      <c r="J50" s="152">
        <v>5120804.0190000003</v>
      </c>
      <c r="K50" s="112" t="s">
        <v>30</v>
      </c>
    </row>
    <row r="51" spans="1:11">
      <c r="A51" s="68" t="s">
        <v>45</v>
      </c>
      <c r="B51" s="69">
        <v>58.22</v>
      </c>
      <c r="C51" s="149">
        <f t="shared" si="8"/>
        <v>89484.3</v>
      </c>
      <c r="D51" s="150">
        <v>5209775.9460000005</v>
      </c>
      <c r="E51" s="149">
        <f t="shared" si="9"/>
        <v>89959.3</v>
      </c>
      <c r="F51" s="150">
        <v>5237430.4460000005</v>
      </c>
      <c r="G51" s="149">
        <f t="shared" si="10"/>
        <v>90434.3</v>
      </c>
      <c r="H51" s="150">
        <v>5265084.9460000005</v>
      </c>
      <c r="I51" s="149">
        <f t="shared" si="11"/>
        <v>89959.3</v>
      </c>
      <c r="J51" s="106">
        <v>5237430.4460000005</v>
      </c>
      <c r="K51" s="113" t="s">
        <v>30</v>
      </c>
    </row>
    <row r="52" spans="1:11">
      <c r="A52" s="67" t="s">
        <v>46</v>
      </c>
      <c r="B52" s="70">
        <v>21.6</v>
      </c>
      <c r="C52" s="151">
        <f t="shared" si="8"/>
        <v>125517.79999999999</v>
      </c>
      <c r="D52" s="152">
        <v>2711184.48</v>
      </c>
      <c r="E52" s="151">
        <f t="shared" si="9"/>
        <v>125992.79999999999</v>
      </c>
      <c r="F52" s="152">
        <v>2721444.48</v>
      </c>
      <c r="G52" s="151">
        <f t="shared" si="10"/>
        <v>126467.79999999999</v>
      </c>
      <c r="H52" s="152">
        <v>2731704.48</v>
      </c>
      <c r="I52" s="151">
        <f t="shared" si="11"/>
        <v>125992.79999999999</v>
      </c>
      <c r="J52" s="152">
        <v>2721444.48</v>
      </c>
      <c r="K52" s="112" t="s">
        <v>30</v>
      </c>
    </row>
    <row r="53" spans="1:11">
      <c r="A53" s="62" t="s">
        <v>47</v>
      </c>
      <c r="B53" s="63">
        <v>37.549999999999997</v>
      </c>
      <c r="C53" s="151">
        <f t="shared" si="8"/>
        <v>107810.75000000001</v>
      </c>
      <c r="D53" s="152">
        <v>4048293.6625000001</v>
      </c>
      <c r="E53" s="151">
        <f t="shared" si="9"/>
        <v>108284.80000000002</v>
      </c>
      <c r="F53" s="152">
        <v>4066094.24</v>
      </c>
      <c r="G53" s="151">
        <f t="shared" si="10"/>
        <v>108759.80000000002</v>
      </c>
      <c r="H53" s="152">
        <v>4083930.49</v>
      </c>
      <c r="I53" s="151">
        <f t="shared" si="11"/>
        <v>108284.80000000002</v>
      </c>
      <c r="J53" s="152">
        <v>4066094.24</v>
      </c>
      <c r="K53" s="25" t="s">
        <v>48</v>
      </c>
    </row>
    <row r="54" spans="1:11">
      <c r="A54" s="62" t="s">
        <v>49</v>
      </c>
      <c r="B54" s="63">
        <v>56.58</v>
      </c>
      <c r="C54" s="151">
        <f t="shared" si="8"/>
        <v>92532.85</v>
      </c>
      <c r="D54" s="152">
        <v>5235508.6529999999</v>
      </c>
      <c r="E54" s="151">
        <f t="shared" si="9"/>
        <v>93007.85</v>
      </c>
      <c r="F54" s="152">
        <v>5262384.1529999999</v>
      </c>
      <c r="G54" s="151">
        <f t="shared" si="10"/>
        <v>93482.85</v>
      </c>
      <c r="H54" s="152">
        <v>5289259.6529999999</v>
      </c>
      <c r="I54" s="151">
        <f t="shared" si="11"/>
        <v>93007.85</v>
      </c>
      <c r="J54" s="152">
        <v>5262384.1529999999</v>
      </c>
      <c r="K54" s="25" t="s">
        <v>48</v>
      </c>
    </row>
    <row r="55" spans="1:11">
      <c r="A55" s="68" t="s">
        <v>49</v>
      </c>
      <c r="B55" s="69">
        <v>58.22</v>
      </c>
      <c r="C55" s="149">
        <f t="shared" si="8"/>
        <v>91892.55</v>
      </c>
      <c r="D55" s="150">
        <v>5349984.2609999999</v>
      </c>
      <c r="E55" s="149">
        <f t="shared" si="9"/>
        <v>92367.55</v>
      </c>
      <c r="F55" s="150">
        <v>5377638.7609999999</v>
      </c>
      <c r="G55" s="149">
        <f t="shared" si="10"/>
        <v>92842.55</v>
      </c>
      <c r="H55" s="150">
        <v>5405293.2609999999</v>
      </c>
      <c r="I55" s="149">
        <f t="shared" si="11"/>
        <v>92367.55</v>
      </c>
      <c r="J55" s="106">
        <v>5377638.7609999999</v>
      </c>
      <c r="K55" s="18" t="s">
        <v>48</v>
      </c>
    </row>
    <row r="56" spans="1:11">
      <c r="A56" s="67" t="s">
        <v>50</v>
      </c>
      <c r="B56" s="71">
        <v>21.6</v>
      </c>
      <c r="C56" s="153">
        <f t="shared" si="8"/>
        <v>134313.85</v>
      </c>
      <c r="D56" s="154">
        <v>2901179.16</v>
      </c>
      <c r="E56" s="153">
        <f t="shared" si="9"/>
        <v>134788.85</v>
      </c>
      <c r="F56" s="154">
        <v>2911439.16</v>
      </c>
      <c r="G56" s="145">
        <f t="shared" si="10"/>
        <v>135263.85</v>
      </c>
      <c r="H56" s="152">
        <v>2921699.16</v>
      </c>
      <c r="I56" s="153">
        <f t="shared" si="11"/>
        <v>134788.85</v>
      </c>
      <c r="J56" s="155">
        <v>2911439.16</v>
      </c>
      <c r="K56" s="82" t="s">
        <v>48</v>
      </c>
    </row>
    <row r="57" spans="1:11">
      <c r="A57" s="62" t="s">
        <v>51</v>
      </c>
      <c r="B57" s="72">
        <v>37.549999999999997</v>
      </c>
      <c r="C57" s="156">
        <f t="shared" si="8"/>
        <v>107810.75000000001</v>
      </c>
      <c r="D57" s="154">
        <v>4048293.6625000001</v>
      </c>
      <c r="E57" s="156">
        <f t="shared" si="9"/>
        <v>108285.75000000001</v>
      </c>
      <c r="F57" s="154">
        <v>4066129.9125000001</v>
      </c>
      <c r="G57" s="151">
        <f t="shared" si="10"/>
        <v>108759.80000000002</v>
      </c>
      <c r="H57" s="152">
        <v>4083930.49</v>
      </c>
      <c r="I57" s="156">
        <f t="shared" si="11"/>
        <v>108284.80000000002</v>
      </c>
      <c r="J57" s="107">
        <v>4066094.24</v>
      </c>
      <c r="K57" s="82" t="s">
        <v>48</v>
      </c>
    </row>
    <row r="58" spans="1:11">
      <c r="A58" s="62" t="s">
        <v>52</v>
      </c>
      <c r="B58" s="72">
        <v>56.58</v>
      </c>
      <c r="C58" s="156">
        <f t="shared" si="8"/>
        <v>92532.85</v>
      </c>
      <c r="D58" s="154">
        <v>5235508.6529999999</v>
      </c>
      <c r="E58" s="156">
        <f t="shared" si="9"/>
        <v>93007.85</v>
      </c>
      <c r="F58" s="154">
        <v>5262384.1529999999</v>
      </c>
      <c r="G58" s="151">
        <f t="shared" si="10"/>
        <v>93482.85</v>
      </c>
      <c r="H58" s="152">
        <v>5289259.6529999999</v>
      </c>
      <c r="I58" s="156">
        <f t="shared" si="11"/>
        <v>93007.85</v>
      </c>
      <c r="J58" s="107">
        <v>5262384.1529999999</v>
      </c>
      <c r="K58" s="82" t="s">
        <v>48</v>
      </c>
    </row>
    <row r="59" spans="1:11">
      <c r="A59" s="68" t="s">
        <v>52</v>
      </c>
      <c r="B59" s="73">
        <v>58.22</v>
      </c>
      <c r="C59" s="157">
        <f t="shared" si="8"/>
        <v>91892.55</v>
      </c>
      <c r="D59" s="158">
        <v>5349984.2609999999</v>
      </c>
      <c r="E59" s="157">
        <f t="shared" si="9"/>
        <v>92367.55</v>
      </c>
      <c r="F59" s="158">
        <v>5377638.7609999999</v>
      </c>
      <c r="G59" s="149">
        <f t="shared" si="10"/>
        <v>92842.55</v>
      </c>
      <c r="H59" s="150">
        <v>5405293.2609999999</v>
      </c>
      <c r="I59" s="157">
        <f t="shared" si="11"/>
        <v>92367.55</v>
      </c>
      <c r="J59" s="106">
        <v>5377638.7609999999</v>
      </c>
      <c r="K59" s="83" t="s">
        <v>48</v>
      </c>
    </row>
    <row r="60" spans="1:11">
      <c r="A60" s="62" t="s">
        <v>53</v>
      </c>
      <c r="B60" s="74">
        <v>35.67</v>
      </c>
      <c r="C60" s="153">
        <f t="shared" si="8"/>
        <v>99864.95</v>
      </c>
      <c r="D60" s="159">
        <v>3562182.7664999999</v>
      </c>
      <c r="E60" s="153">
        <f t="shared" si="9"/>
        <v>100339.95</v>
      </c>
      <c r="F60" s="159">
        <v>3579126.0164999999</v>
      </c>
      <c r="G60" s="145">
        <f t="shared" si="10"/>
        <v>100814.95</v>
      </c>
      <c r="H60" s="155">
        <v>3596069.2664999999</v>
      </c>
      <c r="I60" s="153">
        <f t="shared" si="11"/>
        <v>100339.95</v>
      </c>
      <c r="J60" s="155">
        <v>3579126.0164999999</v>
      </c>
      <c r="K60" s="139" t="s">
        <v>30</v>
      </c>
    </row>
    <row r="61" spans="1:11">
      <c r="A61" s="68" t="s">
        <v>53</v>
      </c>
      <c r="B61" s="75">
        <v>37.090000000000003</v>
      </c>
      <c r="C61" s="160">
        <f t="shared" si="8"/>
        <v>99067.89999999998</v>
      </c>
      <c r="D61" s="161">
        <v>3674428.4109999998</v>
      </c>
      <c r="E61" s="160">
        <f t="shared" si="9"/>
        <v>99542.89999999998</v>
      </c>
      <c r="F61" s="161">
        <v>3692046.1609999998</v>
      </c>
      <c r="G61" s="144">
        <f t="shared" si="10"/>
        <v>100017.89999999998</v>
      </c>
      <c r="H61" s="162">
        <v>3709663.9109999998</v>
      </c>
      <c r="I61" s="160">
        <f t="shared" si="11"/>
        <v>99542.89999999998</v>
      </c>
      <c r="J61" s="162">
        <v>3692046.1609999998</v>
      </c>
      <c r="K61" s="140" t="s">
        <v>30</v>
      </c>
    </row>
  </sheetData>
  <pageMargins left="0.118110236220472" right="0.118110236220472" top="7.8740157480315001E-2" bottom="0.15748031496063" header="0.31496062992126" footer="0.31496062992126"/>
  <pageSetup paperSize="9" scale="75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81"/>
  <sheetViews>
    <sheetView zoomScale="90" zoomScaleNormal="90" workbookViewId="0">
      <selection activeCell="N81" sqref="N81"/>
    </sheetView>
  </sheetViews>
  <sheetFormatPr defaultColWidth="8.85546875" defaultRowHeight="15"/>
  <cols>
    <col min="1" max="1" width="36.140625" customWidth="1"/>
    <col min="2" max="2" width="9.85546875" style="3" customWidth="1"/>
    <col min="3" max="3" width="12.7109375" style="3" customWidth="1"/>
    <col min="4" max="4" width="11.42578125" style="3" customWidth="1"/>
    <col min="5" max="5" width="12.42578125" style="3" customWidth="1"/>
    <col min="6" max="6" width="12" style="3" customWidth="1"/>
    <col min="7" max="7" width="14.140625" style="3" customWidth="1"/>
    <col min="8" max="8" width="12.42578125" style="3" customWidth="1"/>
    <col min="9" max="9" width="13.140625" style="3" customWidth="1"/>
    <col min="10" max="10" width="12" style="3" customWidth="1"/>
    <col min="11" max="11" width="17.140625" style="3" customWidth="1"/>
    <col min="12" max="12" width="14.140625" customWidth="1"/>
    <col min="13" max="13" width="14.28515625" customWidth="1"/>
    <col min="14" max="14" width="12.7109375" customWidth="1"/>
  </cols>
  <sheetData>
    <row r="1" spans="1:12" s="1" customFormat="1" ht="19.5" thickBot="1">
      <c r="A1" s="164" t="s">
        <v>132</v>
      </c>
      <c r="E1" s="4"/>
      <c r="F1" s="4"/>
      <c r="G1" s="4"/>
      <c r="H1" s="4"/>
      <c r="I1" s="4"/>
      <c r="J1" s="4"/>
      <c r="K1" s="4"/>
    </row>
    <row r="2" spans="1:12" ht="46.5" customHeight="1" thickBot="1">
      <c r="A2" s="35" t="s">
        <v>21</v>
      </c>
      <c r="B2" s="36" t="s">
        <v>54</v>
      </c>
      <c r="C2" s="36" t="s">
        <v>23</v>
      </c>
      <c r="D2" s="36" t="s">
        <v>24</v>
      </c>
      <c r="E2" s="36" t="s">
        <v>25</v>
      </c>
      <c r="F2" s="36" t="s">
        <v>24</v>
      </c>
      <c r="G2" s="36" t="s">
        <v>55</v>
      </c>
      <c r="H2" s="36" t="s">
        <v>24</v>
      </c>
      <c r="I2" s="36" t="s">
        <v>56</v>
      </c>
      <c r="J2" s="36" t="s">
        <v>24</v>
      </c>
      <c r="K2" s="50" t="s">
        <v>3</v>
      </c>
    </row>
    <row r="3" spans="1:12" ht="15.75" thickBot="1">
      <c r="A3" s="37" t="s">
        <v>57</v>
      </c>
      <c r="B3" s="230">
        <v>55.5</v>
      </c>
      <c r="C3" s="212"/>
      <c r="D3" s="212"/>
      <c r="E3" s="212"/>
      <c r="F3" s="213"/>
      <c r="G3" s="214">
        <f>H3/B3</f>
        <v>94742.792792792796</v>
      </c>
      <c r="H3" s="215">
        <f>5658225-400000</f>
        <v>5258225</v>
      </c>
      <c r="I3" s="216">
        <f>J3/B3</f>
        <v>95242.792792792796</v>
      </c>
      <c r="J3" s="215">
        <f>5685975-400000</f>
        <v>5285975</v>
      </c>
      <c r="K3" s="190" t="s">
        <v>3</v>
      </c>
      <c r="L3" s="57" t="s">
        <v>97</v>
      </c>
    </row>
    <row r="4" spans="1:12">
      <c r="A4" s="39" t="s">
        <v>59</v>
      </c>
      <c r="B4" s="231">
        <v>21.3</v>
      </c>
      <c r="C4" s="146"/>
      <c r="D4" s="155"/>
      <c r="E4" s="217">
        <f>F4/B4</f>
        <v>141561</v>
      </c>
      <c r="F4" s="155">
        <v>3015249.3000000003</v>
      </c>
      <c r="G4" s="218">
        <f t="shared" ref="G4:G19" si="0">H4/B4</f>
        <v>139214</v>
      </c>
      <c r="H4" s="155">
        <v>2965258.2</v>
      </c>
      <c r="I4" s="155"/>
      <c r="J4" s="155"/>
      <c r="K4" s="191" t="s">
        <v>3</v>
      </c>
    </row>
    <row r="5" spans="1:12">
      <c r="A5" s="39" t="s">
        <v>61</v>
      </c>
      <c r="B5" s="232">
        <v>37</v>
      </c>
      <c r="C5" s="219">
        <f>D5/B5</f>
        <v>109044.5945945946</v>
      </c>
      <c r="D5" s="105">
        <f>4234650-200000</f>
        <v>4034650</v>
      </c>
      <c r="E5" s="220">
        <f t="shared" ref="E5:E19" si="1">F5/B5</f>
        <v>109544.5945945946</v>
      </c>
      <c r="F5" s="105">
        <f>4253150-200000</f>
        <v>4053150</v>
      </c>
      <c r="G5" s="221">
        <f t="shared" si="0"/>
        <v>110044.5945945946</v>
      </c>
      <c r="H5" s="107">
        <f>4271650-200000</f>
        <v>4071650</v>
      </c>
      <c r="I5" s="107"/>
      <c r="J5" s="107"/>
      <c r="K5" s="191" t="s">
        <v>3</v>
      </c>
      <c r="L5" s="57" t="s">
        <v>98</v>
      </c>
    </row>
    <row r="6" spans="1:12">
      <c r="A6" s="39" t="s">
        <v>62</v>
      </c>
      <c r="B6" s="232">
        <v>55</v>
      </c>
      <c r="C6" s="219">
        <f t="shared" ref="C6:C19" si="2">D6/B6</f>
        <v>96404.454545454544</v>
      </c>
      <c r="D6" s="105">
        <f>5602245-300000</f>
        <v>5302245</v>
      </c>
      <c r="E6" s="220">
        <f t="shared" si="1"/>
        <v>96904.454545454544</v>
      </c>
      <c r="F6" s="105">
        <f>5629745-300000</f>
        <v>5329745</v>
      </c>
      <c r="G6" s="221">
        <f t="shared" si="0"/>
        <v>96495.454545454544</v>
      </c>
      <c r="H6" s="107">
        <f>5607250-300000</f>
        <v>5307250</v>
      </c>
      <c r="I6" s="107"/>
      <c r="J6" s="107"/>
      <c r="K6" s="191" t="s">
        <v>3</v>
      </c>
      <c r="L6" s="57" t="s">
        <v>99</v>
      </c>
    </row>
    <row r="7" spans="1:12" ht="15.75" thickBot="1">
      <c r="A7" s="42" t="s">
        <v>63</v>
      </c>
      <c r="B7" s="233">
        <v>64.8</v>
      </c>
      <c r="C7" s="222">
        <f t="shared" si="2"/>
        <v>86992.370370370365</v>
      </c>
      <c r="D7" s="150">
        <f>5937105.6-300000</f>
        <v>5637105.5999999996</v>
      </c>
      <c r="E7" s="223">
        <f t="shared" si="1"/>
        <v>87492.370370370365</v>
      </c>
      <c r="F7" s="106">
        <f>5969505.6-300000</f>
        <v>5669505.5999999996</v>
      </c>
      <c r="G7" s="223">
        <f t="shared" si="0"/>
        <v>87220.37037037038</v>
      </c>
      <c r="H7" s="106">
        <f>5951880-300000</f>
        <v>5651880</v>
      </c>
      <c r="I7" s="150"/>
      <c r="J7" s="106"/>
      <c r="K7" s="192" t="s">
        <v>3</v>
      </c>
      <c r="L7" s="57" t="s">
        <v>99</v>
      </c>
    </row>
    <row r="8" spans="1:12">
      <c r="A8" s="39" t="s">
        <v>65</v>
      </c>
      <c r="B8" s="24">
        <v>34</v>
      </c>
      <c r="C8" s="219">
        <f t="shared" si="2"/>
        <v>110567.64705882352</v>
      </c>
      <c r="D8" s="107">
        <f>3959300-200000</f>
        <v>3759300</v>
      </c>
      <c r="E8" s="217">
        <f t="shared" si="1"/>
        <v>111067.64705882352</v>
      </c>
      <c r="F8" s="155">
        <f>3976300-200000</f>
        <v>3776300</v>
      </c>
      <c r="G8" s="218">
        <f t="shared" si="0"/>
        <v>111567.64705882352</v>
      </c>
      <c r="H8" s="107">
        <f>3993300-200000</f>
        <v>3793300</v>
      </c>
      <c r="I8" s="107"/>
      <c r="J8" s="107"/>
      <c r="K8" s="193" t="s">
        <v>3</v>
      </c>
      <c r="L8" s="57" t="s">
        <v>98</v>
      </c>
    </row>
    <row r="9" spans="1:12">
      <c r="A9" s="39" t="s">
        <v>65</v>
      </c>
      <c r="B9" s="24">
        <v>37</v>
      </c>
      <c r="C9" s="219">
        <f t="shared" si="2"/>
        <v>109044.5945945946</v>
      </c>
      <c r="D9" s="105">
        <f>4234650-200000</f>
        <v>4034650</v>
      </c>
      <c r="E9" s="220">
        <f t="shared" si="1"/>
        <v>109544.5945945946</v>
      </c>
      <c r="F9" s="105">
        <f>4253150-200000</f>
        <v>4053150</v>
      </c>
      <c r="G9" s="221">
        <f t="shared" si="0"/>
        <v>110044.5945945946</v>
      </c>
      <c r="H9" s="105">
        <f>4271650-200000</f>
        <v>4071650</v>
      </c>
      <c r="I9" s="105"/>
      <c r="J9" s="105"/>
      <c r="K9" s="193" t="s">
        <v>3</v>
      </c>
      <c r="L9" s="57" t="s">
        <v>98</v>
      </c>
    </row>
    <row r="10" spans="1:12">
      <c r="A10" s="39" t="s">
        <v>66</v>
      </c>
      <c r="B10" s="24">
        <v>51.1</v>
      </c>
      <c r="C10" s="219">
        <f t="shared" si="2"/>
        <v>98079.158512720154</v>
      </c>
      <c r="D10" s="105">
        <f>5311845-300000</f>
        <v>5011845</v>
      </c>
      <c r="E10" s="220">
        <f t="shared" si="1"/>
        <v>98579.158512720154</v>
      </c>
      <c r="F10" s="105">
        <f>5337395-300000</f>
        <v>5037395</v>
      </c>
      <c r="G10" s="221">
        <f t="shared" si="0"/>
        <v>99079.158512720154</v>
      </c>
      <c r="H10" s="105">
        <f>5362945-300000</f>
        <v>5062945</v>
      </c>
      <c r="I10" s="105"/>
      <c r="J10" s="105"/>
      <c r="K10" s="193" t="s">
        <v>3</v>
      </c>
      <c r="L10" s="57" t="s">
        <v>99</v>
      </c>
    </row>
    <row r="11" spans="1:12">
      <c r="A11" s="39" t="s">
        <v>65</v>
      </c>
      <c r="B11" s="24">
        <v>55</v>
      </c>
      <c r="C11" s="219">
        <f t="shared" si="2"/>
        <v>95495.454545454544</v>
      </c>
      <c r="D11" s="105">
        <f>5552250-300000</f>
        <v>5252250</v>
      </c>
      <c r="E11" s="220">
        <f t="shared" si="1"/>
        <v>95995.454545454544</v>
      </c>
      <c r="F11" s="105">
        <f>5579750-300000</f>
        <v>5279750</v>
      </c>
      <c r="G11" s="221">
        <f t="shared" si="0"/>
        <v>96495.454545454544</v>
      </c>
      <c r="H11" s="105">
        <f>5607250-300000</f>
        <v>5307250</v>
      </c>
      <c r="I11" s="105"/>
      <c r="J11" s="105"/>
      <c r="K11" s="193" t="s">
        <v>3</v>
      </c>
      <c r="L11" s="57" t="s">
        <v>99</v>
      </c>
    </row>
    <row r="12" spans="1:12" ht="15.75" thickBot="1">
      <c r="A12" s="46" t="s">
        <v>66</v>
      </c>
      <c r="B12" s="233">
        <v>56.5</v>
      </c>
      <c r="C12" s="222">
        <f t="shared" si="2"/>
        <v>95640.265486725664</v>
      </c>
      <c r="D12" s="150">
        <f>5703675-300000</f>
        <v>5403675</v>
      </c>
      <c r="E12" s="223">
        <f t="shared" si="1"/>
        <v>96140.265486725664</v>
      </c>
      <c r="F12" s="106">
        <f>5731925-300000</f>
        <v>5431925</v>
      </c>
      <c r="G12" s="222">
        <f t="shared" si="0"/>
        <v>96640.265486725664</v>
      </c>
      <c r="H12" s="106">
        <f>5760175-300000</f>
        <v>5460175</v>
      </c>
      <c r="I12" s="106"/>
      <c r="J12" s="106"/>
      <c r="K12" s="194" t="s">
        <v>3</v>
      </c>
      <c r="L12" s="57" t="s">
        <v>99</v>
      </c>
    </row>
    <row r="13" spans="1:12">
      <c r="A13" s="44" t="s">
        <v>67</v>
      </c>
      <c r="B13" s="231">
        <v>21.3</v>
      </c>
      <c r="C13" s="218">
        <f t="shared" si="2"/>
        <v>138214</v>
      </c>
      <c r="D13" s="218">
        <v>2943958.2</v>
      </c>
      <c r="E13" s="217">
        <f t="shared" si="1"/>
        <v>138714</v>
      </c>
      <c r="F13" s="155">
        <v>2954608.2</v>
      </c>
      <c r="G13" s="218">
        <f t="shared" si="0"/>
        <v>139214</v>
      </c>
      <c r="H13" s="155">
        <v>2965258.2</v>
      </c>
      <c r="I13" s="155"/>
      <c r="J13" s="155"/>
      <c r="K13" s="195" t="s">
        <v>3</v>
      </c>
    </row>
    <row r="14" spans="1:12">
      <c r="A14" s="39" t="s">
        <v>68</v>
      </c>
      <c r="B14" s="24">
        <v>24.3</v>
      </c>
      <c r="C14" s="219"/>
      <c r="D14" s="107"/>
      <c r="E14" s="220">
        <f t="shared" si="1"/>
        <v>135889.07999999999</v>
      </c>
      <c r="F14" s="105">
        <v>3302104.6439999999</v>
      </c>
      <c r="G14" s="221">
        <f t="shared" si="0"/>
        <v>136389.07999999999</v>
      </c>
      <c r="H14" s="105">
        <v>3314254.6439999999</v>
      </c>
      <c r="I14" s="105"/>
      <c r="J14" s="105"/>
      <c r="K14" s="193" t="s">
        <v>3</v>
      </c>
    </row>
    <row r="15" spans="1:12">
      <c r="A15" s="39" t="s">
        <v>69</v>
      </c>
      <c r="B15" s="24">
        <v>37</v>
      </c>
      <c r="C15" s="219">
        <f t="shared" si="2"/>
        <v>109044.5945945946</v>
      </c>
      <c r="D15" s="224">
        <f>4234650-200000</f>
        <v>4034650</v>
      </c>
      <c r="E15" s="220">
        <f t="shared" si="1"/>
        <v>109544.5945945946</v>
      </c>
      <c r="F15" s="105">
        <f>4253150-200000</f>
        <v>4053150</v>
      </c>
      <c r="G15" s="221">
        <f t="shared" si="0"/>
        <v>110044.5945945946</v>
      </c>
      <c r="H15" s="105">
        <f>4271650-200000</f>
        <v>4071650</v>
      </c>
      <c r="I15" s="105"/>
      <c r="J15" s="105"/>
      <c r="K15" s="193" t="s">
        <v>3</v>
      </c>
      <c r="L15" s="57" t="s">
        <v>98</v>
      </c>
    </row>
    <row r="16" spans="1:12">
      <c r="A16" s="39" t="s">
        <v>68</v>
      </c>
      <c r="B16" s="24">
        <v>37.700000000000003</v>
      </c>
      <c r="C16" s="219">
        <f t="shared" si="2"/>
        <v>109144.96021220158</v>
      </c>
      <c r="D16" s="224">
        <f>4314765-200000</f>
        <v>4114765</v>
      </c>
      <c r="E16" s="220">
        <f t="shared" si="1"/>
        <v>109644.96021220158</v>
      </c>
      <c r="F16" s="105">
        <f>4333615-200000</f>
        <v>4133615</v>
      </c>
      <c r="G16" s="221">
        <f t="shared" si="0"/>
        <v>110144.96021220158</v>
      </c>
      <c r="H16" s="105">
        <f>4352465-200000</f>
        <v>4152465</v>
      </c>
      <c r="I16" s="105"/>
      <c r="J16" s="105"/>
      <c r="K16" s="193" t="s">
        <v>3</v>
      </c>
      <c r="L16" s="57" t="s">
        <v>98</v>
      </c>
    </row>
    <row r="17" spans="1:12" ht="15.75" thickBot="1">
      <c r="A17" s="48" t="s">
        <v>69</v>
      </c>
      <c r="B17" s="234">
        <v>55</v>
      </c>
      <c r="C17" s="222">
        <f t="shared" si="2"/>
        <v>95495.454545454544</v>
      </c>
      <c r="D17" s="225">
        <f>5552250-300000</f>
        <v>5252250</v>
      </c>
      <c r="E17" s="223">
        <f t="shared" si="1"/>
        <v>95995.454545454544</v>
      </c>
      <c r="F17" s="106">
        <f>5579750-300000</f>
        <v>5279750</v>
      </c>
      <c r="G17" s="226">
        <f t="shared" si="0"/>
        <v>96495.454545454544</v>
      </c>
      <c r="H17" s="227">
        <f>5607250-300000</f>
        <v>5307250</v>
      </c>
      <c r="I17" s="227"/>
      <c r="J17" s="227"/>
      <c r="K17" s="196" t="s">
        <v>3</v>
      </c>
      <c r="L17" s="57" t="s">
        <v>99</v>
      </c>
    </row>
    <row r="18" spans="1:12" ht="15.75" thickBot="1">
      <c r="A18" s="37" t="s">
        <v>70</v>
      </c>
      <c r="B18" s="230">
        <v>64.5</v>
      </c>
      <c r="C18" s="216">
        <f t="shared" si="2"/>
        <v>86970.837209302321</v>
      </c>
      <c r="D18" s="215">
        <f>5909619-300000</f>
        <v>5609619</v>
      </c>
      <c r="E18" s="216">
        <f t="shared" si="1"/>
        <v>87470.837209302321</v>
      </c>
      <c r="F18" s="162">
        <f>5941869-300000</f>
        <v>5641869</v>
      </c>
      <c r="G18" s="214"/>
      <c r="H18" s="215"/>
      <c r="I18" s="215"/>
      <c r="J18" s="215"/>
      <c r="K18" s="190" t="s">
        <v>3</v>
      </c>
      <c r="L18" s="57" t="s">
        <v>99</v>
      </c>
    </row>
    <row r="19" spans="1:12" ht="15.75" thickBot="1">
      <c r="A19" s="37" t="s">
        <v>71</v>
      </c>
      <c r="B19" s="230">
        <v>64.5</v>
      </c>
      <c r="C19" s="216">
        <f t="shared" si="2"/>
        <v>88970.837209302321</v>
      </c>
      <c r="D19" s="215">
        <f>6038619-300000</f>
        <v>5738619</v>
      </c>
      <c r="E19" s="216">
        <f t="shared" si="1"/>
        <v>89470.837209302321</v>
      </c>
      <c r="F19" s="215">
        <f>6070869-300000</f>
        <v>5770869</v>
      </c>
      <c r="G19" s="214">
        <f t="shared" si="0"/>
        <v>89970.837209302321</v>
      </c>
      <c r="H19" s="215">
        <f>6103119-300000</f>
        <v>5803119</v>
      </c>
      <c r="I19" s="215"/>
      <c r="J19" s="215"/>
      <c r="K19" s="190" t="s">
        <v>3</v>
      </c>
      <c r="L19" s="57" t="s">
        <v>99</v>
      </c>
    </row>
    <row r="20" spans="1:12">
      <c r="A20" s="239"/>
      <c r="B20" s="28"/>
      <c r="C20" s="240"/>
      <c r="D20" s="241"/>
      <c r="E20" s="240"/>
      <c r="F20" s="241"/>
      <c r="G20" s="240"/>
      <c r="H20" s="241"/>
      <c r="I20" s="241"/>
      <c r="J20" s="241"/>
      <c r="K20" s="242"/>
      <c r="L20" s="57"/>
    </row>
    <row r="23" spans="1:12" ht="16.5" customHeight="1" thickBot="1">
      <c r="A23" s="164" t="s">
        <v>133</v>
      </c>
      <c r="B23" s="1"/>
      <c r="C23" s="1"/>
      <c r="D23" s="1"/>
      <c r="E23" s="4"/>
      <c r="F23" s="4"/>
      <c r="G23" s="4"/>
      <c r="H23" s="4"/>
      <c r="I23" s="4"/>
      <c r="J23" s="4"/>
      <c r="K23" s="4"/>
    </row>
    <row r="24" spans="1:12" ht="45.75" thickBot="1">
      <c r="A24" s="35" t="s">
        <v>21</v>
      </c>
      <c r="B24" s="36" t="s">
        <v>54</v>
      </c>
      <c r="C24" s="36" t="s">
        <v>23</v>
      </c>
      <c r="D24" s="36" t="s">
        <v>24</v>
      </c>
      <c r="E24" s="36" t="s">
        <v>25</v>
      </c>
      <c r="F24" s="36" t="s">
        <v>24</v>
      </c>
      <c r="G24" s="36" t="s">
        <v>55</v>
      </c>
      <c r="H24" s="36" t="s">
        <v>24</v>
      </c>
      <c r="I24" s="36" t="s">
        <v>56</v>
      </c>
      <c r="J24" s="36" t="s">
        <v>24</v>
      </c>
      <c r="K24" s="50" t="s">
        <v>3</v>
      </c>
    </row>
    <row r="25" spans="1:12" ht="15.75" thickBot="1">
      <c r="A25" s="37" t="s">
        <v>57</v>
      </c>
      <c r="B25" s="230">
        <v>55.5</v>
      </c>
      <c r="C25" s="212"/>
      <c r="D25" s="212"/>
      <c r="E25" s="212"/>
      <c r="F25" s="213"/>
      <c r="G25" s="214">
        <f>H25/B25</f>
        <v>90005.653153153151</v>
      </c>
      <c r="H25" s="215">
        <v>4995313.75</v>
      </c>
      <c r="I25" s="216">
        <f>J25/B25</f>
        <v>90480.648648648654</v>
      </c>
      <c r="J25" s="215">
        <v>5021676</v>
      </c>
      <c r="K25" s="190" t="s">
        <v>3</v>
      </c>
    </row>
    <row r="26" spans="1:12">
      <c r="A26" s="39" t="s">
        <v>59</v>
      </c>
      <c r="B26" s="231">
        <v>21.3</v>
      </c>
      <c r="C26" s="146"/>
      <c r="D26" s="155"/>
      <c r="E26" s="217">
        <f>F26/B26</f>
        <v>134482.94999999998</v>
      </c>
      <c r="F26" s="155">
        <v>2864486.835</v>
      </c>
      <c r="G26" s="218">
        <f t="shared" ref="G26:G39" si="3">H26/B26</f>
        <v>132253.29999999999</v>
      </c>
      <c r="H26" s="155">
        <v>2816995.29</v>
      </c>
      <c r="I26" s="155"/>
      <c r="J26" s="155"/>
      <c r="K26" s="191" t="s">
        <v>3</v>
      </c>
    </row>
    <row r="27" spans="1:12">
      <c r="A27" s="39" t="s">
        <v>61</v>
      </c>
      <c r="B27" s="232">
        <v>37</v>
      </c>
      <c r="C27" s="219">
        <f>D27/B27</f>
        <v>103592.36486486487</v>
      </c>
      <c r="D27" s="105">
        <v>3832917.5</v>
      </c>
      <c r="E27" s="220">
        <f t="shared" ref="E27:E40" si="4">F27/B27</f>
        <v>104067.36486486487</v>
      </c>
      <c r="F27" s="105">
        <v>3850492.5</v>
      </c>
      <c r="G27" s="221">
        <f t="shared" si="3"/>
        <v>104542.36486486487</v>
      </c>
      <c r="H27" s="107">
        <v>3868067.5</v>
      </c>
      <c r="I27" s="107"/>
      <c r="J27" s="107"/>
      <c r="K27" s="191" t="s">
        <v>3</v>
      </c>
    </row>
    <row r="28" spans="1:12">
      <c r="A28" s="39" t="s">
        <v>62</v>
      </c>
      <c r="B28" s="232">
        <v>55</v>
      </c>
      <c r="C28" s="219">
        <f t="shared" ref="C28:C40" si="5">D28/B28</f>
        <v>91584.231818181812</v>
      </c>
      <c r="D28" s="105">
        <v>5037132.75</v>
      </c>
      <c r="E28" s="220">
        <f t="shared" si="4"/>
        <v>92059.231818181812</v>
      </c>
      <c r="F28" s="105">
        <v>5063257.75</v>
      </c>
      <c r="G28" s="221">
        <f t="shared" si="3"/>
        <v>91670.681818181823</v>
      </c>
      <c r="H28" s="107">
        <v>5041887.5</v>
      </c>
      <c r="I28" s="107"/>
      <c r="J28" s="107"/>
      <c r="K28" s="191" t="s">
        <v>3</v>
      </c>
    </row>
    <row r="29" spans="1:12" ht="15.75" thickBot="1">
      <c r="A29" s="42" t="s">
        <v>63</v>
      </c>
      <c r="B29" s="233">
        <v>64.8</v>
      </c>
      <c r="C29" s="222">
        <f t="shared" si="5"/>
        <v>82642.751851851848</v>
      </c>
      <c r="D29" s="150">
        <v>5355250.3199999994</v>
      </c>
      <c r="E29" s="223">
        <f t="shared" si="4"/>
        <v>83117.751851851848</v>
      </c>
      <c r="F29" s="106">
        <v>5386030.3199999994</v>
      </c>
      <c r="G29" s="223">
        <f t="shared" si="3"/>
        <v>82859.351851851854</v>
      </c>
      <c r="H29" s="106">
        <v>5369286</v>
      </c>
      <c r="I29" s="150"/>
      <c r="J29" s="106"/>
      <c r="K29" s="192" t="s">
        <v>3</v>
      </c>
    </row>
    <row r="30" spans="1:12">
      <c r="A30" s="44" t="s">
        <v>64</v>
      </c>
      <c r="B30" s="24">
        <v>34</v>
      </c>
      <c r="C30" s="219">
        <f t="shared" si="5"/>
        <v>105039.26470588235</v>
      </c>
      <c r="D30" s="107">
        <v>3571335</v>
      </c>
      <c r="E30" s="217">
        <f t="shared" si="4"/>
        <v>105514.26470588235</v>
      </c>
      <c r="F30" s="155">
        <v>3587485</v>
      </c>
      <c r="G30" s="218">
        <f t="shared" si="3"/>
        <v>105989.26470588235</v>
      </c>
      <c r="H30" s="107">
        <v>3603635</v>
      </c>
      <c r="I30" s="107"/>
      <c r="J30" s="107"/>
      <c r="K30" s="193" t="s">
        <v>3</v>
      </c>
    </row>
    <row r="31" spans="1:12">
      <c r="A31" s="39" t="s">
        <v>65</v>
      </c>
      <c r="B31" s="24">
        <v>37</v>
      </c>
      <c r="C31" s="219">
        <f t="shared" si="5"/>
        <v>103592.36486486487</v>
      </c>
      <c r="D31" s="105">
        <v>3832917.5</v>
      </c>
      <c r="E31" s="220">
        <f t="shared" si="4"/>
        <v>104067.36486486487</v>
      </c>
      <c r="F31" s="105">
        <v>3850492.5</v>
      </c>
      <c r="G31" s="221">
        <f t="shared" si="3"/>
        <v>104542.36486486487</v>
      </c>
      <c r="H31" s="105">
        <v>3868067.5</v>
      </c>
      <c r="I31" s="105"/>
      <c r="J31" s="105"/>
      <c r="K31" s="193" t="s">
        <v>3</v>
      </c>
    </row>
    <row r="32" spans="1:12">
      <c r="A32" s="39" t="s">
        <v>65</v>
      </c>
      <c r="B32" s="24">
        <v>51.1</v>
      </c>
      <c r="C32" s="219">
        <f t="shared" si="5"/>
        <v>93175.200587084153</v>
      </c>
      <c r="D32" s="105">
        <v>4761252.75</v>
      </c>
      <c r="E32" s="220">
        <f t="shared" si="4"/>
        <v>93650.200587084153</v>
      </c>
      <c r="F32" s="105">
        <v>4785525.25</v>
      </c>
      <c r="G32" s="221">
        <f t="shared" si="3"/>
        <v>94125.200587084153</v>
      </c>
      <c r="H32" s="105">
        <v>4809797.75</v>
      </c>
      <c r="I32" s="105"/>
      <c r="J32" s="105"/>
      <c r="K32" s="193" t="s">
        <v>3</v>
      </c>
    </row>
    <row r="33" spans="1:11">
      <c r="A33" s="39" t="s">
        <v>66</v>
      </c>
      <c r="B33" s="24">
        <v>55</v>
      </c>
      <c r="C33" s="219">
        <f t="shared" si="5"/>
        <v>90720.681818181823</v>
      </c>
      <c r="D33" s="105">
        <v>4989637.5</v>
      </c>
      <c r="E33" s="220">
        <f t="shared" si="4"/>
        <v>91195.681818181823</v>
      </c>
      <c r="F33" s="105">
        <v>5015762.5</v>
      </c>
      <c r="G33" s="221">
        <f t="shared" si="3"/>
        <v>91670.681818181823</v>
      </c>
      <c r="H33" s="105">
        <v>5041887.5</v>
      </c>
      <c r="I33" s="105"/>
      <c r="J33" s="105"/>
      <c r="K33" s="193" t="s">
        <v>3</v>
      </c>
    </row>
    <row r="34" spans="1:11" ht="15.75" thickBot="1">
      <c r="A34" s="42" t="s">
        <v>65</v>
      </c>
      <c r="B34" s="233">
        <v>56.5</v>
      </c>
      <c r="C34" s="222">
        <f t="shared" si="5"/>
        <v>90858.252212389387</v>
      </c>
      <c r="D34" s="150">
        <v>5133491.25</v>
      </c>
      <c r="E34" s="223">
        <f t="shared" si="4"/>
        <v>91333.252212389387</v>
      </c>
      <c r="F34" s="106">
        <v>5160328.75</v>
      </c>
      <c r="G34" s="222">
        <f t="shared" si="3"/>
        <v>91808.252212389387</v>
      </c>
      <c r="H34" s="106">
        <v>5187166.25</v>
      </c>
      <c r="I34" s="106"/>
      <c r="J34" s="106"/>
      <c r="K34" s="194" t="s">
        <v>3</v>
      </c>
    </row>
    <row r="35" spans="1:11">
      <c r="A35" s="39" t="s">
        <v>66</v>
      </c>
      <c r="B35" s="231">
        <v>21.3</v>
      </c>
      <c r="C35" s="218">
        <f t="shared" si="5"/>
        <v>131303.29999999999</v>
      </c>
      <c r="D35" s="218">
        <v>2796760.29</v>
      </c>
      <c r="E35" s="217">
        <f t="shared" si="4"/>
        <v>131778.29999999999</v>
      </c>
      <c r="F35" s="155">
        <v>2806877.79</v>
      </c>
      <c r="G35" s="218">
        <f t="shared" si="3"/>
        <v>132253.29999999999</v>
      </c>
      <c r="H35" s="155">
        <v>2816995.29</v>
      </c>
      <c r="I35" s="155"/>
      <c r="J35" s="155"/>
      <c r="K35" s="195" t="s">
        <v>3</v>
      </c>
    </row>
    <row r="36" spans="1:11">
      <c r="A36" s="39" t="s">
        <v>67</v>
      </c>
      <c r="B36" s="24">
        <v>24.3</v>
      </c>
      <c r="C36" s="219"/>
      <c r="D36" s="107"/>
      <c r="E36" s="220">
        <f t="shared" si="4"/>
        <v>129094.62599999999</v>
      </c>
      <c r="F36" s="105">
        <v>3136999.4117999999</v>
      </c>
      <c r="G36" s="221">
        <f t="shared" si="3"/>
        <v>129569.62599999999</v>
      </c>
      <c r="H36" s="105">
        <v>3148541.9117999999</v>
      </c>
      <c r="I36" s="105"/>
      <c r="J36" s="105"/>
      <c r="K36" s="193" t="s">
        <v>3</v>
      </c>
    </row>
    <row r="37" spans="1:11">
      <c r="A37" s="39" t="s">
        <v>68</v>
      </c>
      <c r="B37" s="24">
        <v>37</v>
      </c>
      <c r="C37" s="219">
        <f t="shared" si="5"/>
        <v>103592.36486486487</v>
      </c>
      <c r="D37" s="224">
        <v>3832917.5</v>
      </c>
      <c r="E37" s="220">
        <f t="shared" si="4"/>
        <v>104067.36486486487</v>
      </c>
      <c r="F37" s="105">
        <v>3850492.5</v>
      </c>
      <c r="G37" s="221">
        <f t="shared" si="3"/>
        <v>104542.36486486487</v>
      </c>
      <c r="H37" s="105">
        <v>3868067.5</v>
      </c>
      <c r="I37" s="105"/>
      <c r="J37" s="105"/>
      <c r="K37" s="193" t="s">
        <v>3</v>
      </c>
    </row>
    <row r="38" spans="1:11">
      <c r="A38" s="39" t="s">
        <v>69</v>
      </c>
      <c r="B38" s="24">
        <v>37.700000000000003</v>
      </c>
      <c r="C38" s="219">
        <f t="shared" si="5"/>
        <v>103687.71220159151</v>
      </c>
      <c r="D38" s="224">
        <v>3909026.75</v>
      </c>
      <c r="E38" s="220">
        <f t="shared" si="4"/>
        <v>104162.71220159151</v>
      </c>
      <c r="F38" s="105">
        <v>3926934.25</v>
      </c>
      <c r="G38" s="221">
        <f t="shared" si="3"/>
        <v>104637.71220159151</v>
      </c>
      <c r="H38" s="105">
        <v>3944841.75</v>
      </c>
      <c r="I38" s="105"/>
      <c r="J38" s="105"/>
      <c r="K38" s="193" t="s">
        <v>3</v>
      </c>
    </row>
    <row r="39" spans="1:11" ht="15.75" thickBot="1">
      <c r="A39" s="39" t="s">
        <v>68</v>
      </c>
      <c r="B39" s="234">
        <v>55</v>
      </c>
      <c r="C39" s="222">
        <f t="shared" si="5"/>
        <v>90720.681818181823</v>
      </c>
      <c r="D39" s="225">
        <v>4989637.5</v>
      </c>
      <c r="E39" s="223">
        <f t="shared" si="4"/>
        <v>91195.681818181823</v>
      </c>
      <c r="F39" s="106">
        <v>5015762.5</v>
      </c>
      <c r="G39" s="226">
        <f t="shared" si="3"/>
        <v>91670.681818181823</v>
      </c>
      <c r="H39" s="227">
        <v>5041887.5</v>
      </c>
      <c r="I39" s="227"/>
      <c r="J39" s="227"/>
      <c r="K39" s="196" t="s">
        <v>3</v>
      </c>
    </row>
    <row r="40" spans="1:11" ht="15.75" thickBot="1">
      <c r="A40" s="37" t="s">
        <v>70</v>
      </c>
      <c r="B40" s="230">
        <v>64.5</v>
      </c>
      <c r="C40" s="216">
        <f t="shared" si="5"/>
        <v>82622.294573643405</v>
      </c>
      <c r="D40" s="225">
        <v>5329138</v>
      </c>
      <c r="E40" s="216">
        <f t="shared" si="4"/>
        <v>83097.28682170542</v>
      </c>
      <c r="F40" s="106">
        <v>5359775</v>
      </c>
      <c r="G40" s="214"/>
      <c r="H40" s="215"/>
      <c r="I40" s="215"/>
      <c r="J40" s="215"/>
      <c r="K40" s="190" t="s">
        <v>3</v>
      </c>
    </row>
    <row r="41" spans="1:11" ht="15.75" thickBot="1">
      <c r="A41" s="37" t="s">
        <v>71</v>
      </c>
      <c r="B41" s="230">
        <v>64.5</v>
      </c>
      <c r="C41" s="216">
        <f>D41/B41</f>
        <v>84522.294573643405</v>
      </c>
      <c r="D41" s="225">
        <v>5451688</v>
      </c>
      <c r="E41" s="216">
        <f t="shared" ref="E41" si="6">F41/B41</f>
        <v>84997.30232558139</v>
      </c>
      <c r="F41" s="106">
        <v>5482326</v>
      </c>
      <c r="G41" s="214">
        <f>H41/B41</f>
        <v>85472.294573643405</v>
      </c>
      <c r="H41" s="235">
        <v>5512963</v>
      </c>
      <c r="I41" s="215"/>
      <c r="J41" s="215"/>
      <c r="K41" s="51" t="s">
        <v>60</v>
      </c>
    </row>
    <row r="43" spans="1:11" ht="19.5" thickBot="1">
      <c r="A43" s="164" t="s">
        <v>134</v>
      </c>
      <c r="B43" s="1"/>
      <c r="C43" s="1"/>
      <c r="D43" s="1"/>
      <c r="E43" s="4"/>
      <c r="F43" s="4"/>
      <c r="G43" s="4"/>
      <c r="H43" s="4"/>
      <c r="I43" s="4"/>
      <c r="J43" s="4"/>
      <c r="K43" s="4"/>
    </row>
    <row r="44" spans="1:11" ht="45.75" thickBot="1">
      <c r="A44" s="35" t="s">
        <v>21</v>
      </c>
      <c r="B44" s="36" t="s">
        <v>54</v>
      </c>
      <c r="C44" s="36" t="s">
        <v>23</v>
      </c>
      <c r="D44" s="36" t="s">
        <v>24</v>
      </c>
      <c r="E44" s="36" t="s">
        <v>25</v>
      </c>
      <c r="F44" s="36" t="s">
        <v>24</v>
      </c>
      <c r="G44" s="36" t="s">
        <v>55</v>
      </c>
      <c r="H44" s="36" t="s">
        <v>24</v>
      </c>
      <c r="I44" s="36" t="s">
        <v>56</v>
      </c>
      <c r="J44" s="36" t="s">
        <v>24</v>
      </c>
      <c r="K44" s="50" t="s">
        <v>3</v>
      </c>
    </row>
    <row r="45" spans="1:11" ht="15.75" thickBot="1">
      <c r="A45" s="37" t="s">
        <v>57</v>
      </c>
      <c r="B45" s="230">
        <v>55.5</v>
      </c>
      <c r="C45" s="212"/>
      <c r="D45" s="212"/>
      <c r="E45" s="212"/>
      <c r="F45" s="213"/>
      <c r="G45" s="214">
        <f>H45/B45</f>
        <v>104217.07207207209</v>
      </c>
      <c r="H45" s="215">
        <v>5784047.5000000009</v>
      </c>
      <c r="I45" s="216">
        <f>J45/B45</f>
        <v>104767.07207207209</v>
      </c>
      <c r="J45" s="215">
        <v>5814572.5000000009</v>
      </c>
      <c r="K45" s="190" t="s">
        <v>3</v>
      </c>
    </row>
    <row r="46" spans="1:11">
      <c r="A46" s="39" t="s">
        <v>59</v>
      </c>
      <c r="B46" s="231">
        <v>21.3</v>
      </c>
      <c r="C46" s="146"/>
      <c r="D46" s="155"/>
      <c r="E46" s="217">
        <f>F46/B46</f>
        <v>155717.1</v>
      </c>
      <c r="F46" s="155">
        <v>3316774.2300000004</v>
      </c>
      <c r="G46" s="218">
        <f t="shared" ref="G46:G61" si="7">H46/B46</f>
        <v>153135.40000000002</v>
      </c>
      <c r="H46" s="155">
        <v>3261784.0200000005</v>
      </c>
      <c r="I46" s="155"/>
      <c r="J46" s="155"/>
      <c r="K46" s="191" t="s">
        <v>3</v>
      </c>
    </row>
    <row r="47" spans="1:11">
      <c r="A47" s="39" t="s">
        <v>61</v>
      </c>
      <c r="B47" s="232">
        <v>37</v>
      </c>
      <c r="C47" s="219">
        <f>D47/B47</f>
        <v>119949.05405405405</v>
      </c>
      <c r="D47" s="105">
        <v>4438115</v>
      </c>
      <c r="E47" s="220">
        <f t="shared" ref="E47:E61" si="8">F47/B47</f>
        <v>120499.05405405405</v>
      </c>
      <c r="F47" s="105">
        <v>4458465</v>
      </c>
      <c r="G47" s="221">
        <f t="shared" si="7"/>
        <v>121049.05405405405</v>
      </c>
      <c r="H47" s="107">
        <v>4478815</v>
      </c>
      <c r="I47" s="107"/>
      <c r="J47" s="107"/>
      <c r="K47" s="191" t="s">
        <v>3</v>
      </c>
    </row>
    <row r="48" spans="1:11">
      <c r="A48" s="39" t="s">
        <v>62</v>
      </c>
      <c r="B48" s="232">
        <v>55</v>
      </c>
      <c r="C48" s="219">
        <f t="shared" ref="C48:C61" si="9">D48/B48</f>
        <v>106044.90000000002</v>
      </c>
      <c r="D48" s="105">
        <v>5832469.5000000009</v>
      </c>
      <c r="E48" s="220">
        <f t="shared" si="8"/>
        <v>106594.90000000002</v>
      </c>
      <c r="F48" s="105">
        <v>5862719.5000000009</v>
      </c>
      <c r="G48" s="221">
        <f t="shared" si="7"/>
        <v>106145.00000000001</v>
      </c>
      <c r="H48" s="107">
        <v>5837975.0000000009</v>
      </c>
      <c r="I48" s="107"/>
      <c r="J48" s="107"/>
      <c r="K48" s="191" t="s">
        <v>3</v>
      </c>
    </row>
    <row r="49" spans="1:11" ht="15.75" thickBot="1">
      <c r="A49" s="42" t="s">
        <v>63</v>
      </c>
      <c r="B49" s="233">
        <v>64.8</v>
      </c>
      <c r="C49" s="222">
        <f t="shared" si="9"/>
        <v>95691.607407407413</v>
      </c>
      <c r="D49" s="150">
        <v>6200816.1600000001</v>
      </c>
      <c r="E49" s="223">
        <f t="shared" si="8"/>
        <v>96241.607407407413</v>
      </c>
      <c r="F49" s="106">
        <v>6236456.1600000001</v>
      </c>
      <c r="G49" s="223">
        <f t="shared" si="7"/>
        <v>95942.407407407431</v>
      </c>
      <c r="H49" s="106">
        <v>6217068.0000000009</v>
      </c>
      <c r="I49" s="150"/>
      <c r="J49" s="106"/>
      <c r="K49" s="192" t="s">
        <v>3</v>
      </c>
    </row>
    <row r="50" spans="1:11">
      <c r="A50" s="39" t="s">
        <v>65</v>
      </c>
      <c r="B50" s="24">
        <v>34</v>
      </c>
      <c r="C50" s="219">
        <f t="shared" si="9"/>
        <v>121624.4117647059</v>
      </c>
      <c r="D50" s="107">
        <v>4135230.0000000005</v>
      </c>
      <c r="E50" s="217">
        <f t="shared" si="8"/>
        <v>122174.4117647059</v>
      </c>
      <c r="F50" s="155">
        <v>4153930.0000000005</v>
      </c>
      <c r="G50" s="218">
        <f t="shared" si="7"/>
        <v>122724.4117647059</v>
      </c>
      <c r="H50" s="107">
        <v>4172630.0000000005</v>
      </c>
      <c r="I50" s="107"/>
      <c r="J50" s="107"/>
      <c r="K50" s="193" t="s">
        <v>3</v>
      </c>
    </row>
    <row r="51" spans="1:11">
      <c r="A51" s="39" t="s">
        <v>65</v>
      </c>
      <c r="B51" s="24">
        <v>37</v>
      </c>
      <c r="C51" s="219">
        <f t="shared" si="9"/>
        <v>119949.05405405405</v>
      </c>
      <c r="D51" s="105">
        <v>4438115</v>
      </c>
      <c r="E51" s="220">
        <f t="shared" si="8"/>
        <v>120499.05405405405</v>
      </c>
      <c r="F51" s="105">
        <v>4458465</v>
      </c>
      <c r="G51" s="221">
        <f t="shared" si="7"/>
        <v>121049.05405405405</v>
      </c>
      <c r="H51" s="105">
        <v>4478815</v>
      </c>
      <c r="I51" s="105"/>
      <c r="J51" s="105"/>
      <c r="K51" s="193" t="s">
        <v>3</v>
      </c>
    </row>
    <row r="52" spans="1:11">
      <c r="A52" s="39" t="s">
        <v>66</v>
      </c>
      <c r="B52" s="24">
        <v>51.1</v>
      </c>
      <c r="C52" s="219">
        <f t="shared" si="9"/>
        <v>107887.07436399217</v>
      </c>
      <c r="D52" s="105">
        <v>5513029.5</v>
      </c>
      <c r="E52" s="220">
        <f t="shared" si="8"/>
        <v>108437.07436399217</v>
      </c>
      <c r="F52" s="105">
        <v>5541134.5</v>
      </c>
      <c r="G52" s="221">
        <f t="shared" si="7"/>
        <v>108987.07436399217</v>
      </c>
      <c r="H52" s="105">
        <v>5569239.5</v>
      </c>
      <c r="I52" s="105"/>
      <c r="J52" s="105"/>
      <c r="K52" s="193" t="s">
        <v>3</v>
      </c>
    </row>
    <row r="53" spans="1:11">
      <c r="A53" s="39" t="s">
        <v>65</v>
      </c>
      <c r="B53" s="24">
        <v>55</v>
      </c>
      <c r="C53" s="219">
        <f t="shared" si="9"/>
        <v>105045.00000000001</v>
      </c>
      <c r="D53" s="105">
        <v>5777475.0000000009</v>
      </c>
      <c r="E53" s="220">
        <f t="shared" si="8"/>
        <v>105595.00000000001</v>
      </c>
      <c r="F53" s="105">
        <v>5807725.0000000009</v>
      </c>
      <c r="G53" s="221">
        <f t="shared" si="7"/>
        <v>106145.00000000001</v>
      </c>
      <c r="H53" s="105">
        <v>5837975.0000000009</v>
      </c>
      <c r="I53" s="105"/>
      <c r="J53" s="105"/>
      <c r="K53" s="193" t="s">
        <v>3</v>
      </c>
    </row>
    <row r="54" spans="1:11" ht="15.75" thickBot="1">
      <c r="A54" s="46" t="s">
        <v>66</v>
      </c>
      <c r="B54" s="233">
        <v>56.5</v>
      </c>
      <c r="C54" s="222">
        <f t="shared" si="9"/>
        <v>105204.29203539825</v>
      </c>
      <c r="D54" s="150">
        <v>5944042.5000000009</v>
      </c>
      <c r="E54" s="223">
        <f t="shared" si="8"/>
        <v>105754.29203539825</v>
      </c>
      <c r="F54" s="106">
        <v>5975117.5000000009</v>
      </c>
      <c r="G54" s="222">
        <f t="shared" si="7"/>
        <v>106304.29203539825</v>
      </c>
      <c r="H54" s="106">
        <v>6006192.5000000009</v>
      </c>
      <c r="I54" s="106"/>
      <c r="J54" s="106"/>
      <c r="K54" s="194" t="s">
        <v>3</v>
      </c>
    </row>
    <row r="55" spans="1:11">
      <c r="A55" s="44" t="s">
        <v>67</v>
      </c>
      <c r="B55" s="231">
        <v>21.3</v>
      </c>
      <c r="C55" s="218">
        <f t="shared" si="9"/>
        <v>152035.40000000002</v>
      </c>
      <c r="D55" s="218">
        <v>3238354.0200000005</v>
      </c>
      <c r="E55" s="217">
        <f t="shared" si="8"/>
        <v>152585.40000000002</v>
      </c>
      <c r="F55" s="155">
        <v>3250069.0200000005</v>
      </c>
      <c r="G55" s="218">
        <f t="shared" si="7"/>
        <v>153135.40000000002</v>
      </c>
      <c r="H55" s="155">
        <v>3261784.0200000005</v>
      </c>
      <c r="I55" s="155"/>
      <c r="J55" s="155"/>
      <c r="K55" s="195" t="s">
        <v>3</v>
      </c>
    </row>
    <row r="56" spans="1:11">
      <c r="A56" s="39" t="s">
        <v>68</v>
      </c>
      <c r="B56" s="24">
        <v>24.3</v>
      </c>
      <c r="C56" s="219"/>
      <c r="D56" s="107"/>
      <c r="E56" s="220">
        <f t="shared" si="8"/>
        <v>149477.98800000001</v>
      </c>
      <c r="F56" s="105">
        <v>3632315.1084000003</v>
      </c>
      <c r="G56" s="221">
        <f t="shared" si="7"/>
        <v>150027.98800000001</v>
      </c>
      <c r="H56" s="105">
        <v>3645680.1084000003</v>
      </c>
      <c r="I56" s="105"/>
      <c r="J56" s="105"/>
      <c r="K56" s="193" t="s">
        <v>3</v>
      </c>
    </row>
    <row r="57" spans="1:11">
      <c r="A57" s="39" t="s">
        <v>69</v>
      </c>
      <c r="B57" s="24">
        <v>37</v>
      </c>
      <c r="C57" s="219">
        <f t="shared" ref="C57:C61" si="10">D57/B57</f>
        <v>119949.05405405405</v>
      </c>
      <c r="D57" s="224">
        <v>4438115</v>
      </c>
      <c r="E57" s="220">
        <f t="shared" si="8"/>
        <v>120499.05405405405</v>
      </c>
      <c r="F57" s="105">
        <v>4458465</v>
      </c>
      <c r="G57" s="221">
        <f t="shared" si="7"/>
        <v>121049.05405405405</v>
      </c>
      <c r="H57" s="105">
        <v>4478815</v>
      </c>
      <c r="I57" s="105"/>
      <c r="J57" s="105"/>
      <c r="K57" s="193" t="s">
        <v>3</v>
      </c>
    </row>
    <row r="58" spans="1:11">
      <c r="A58" s="39" t="s">
        <v>68</v>
      </c>
      <c r="B58" s="24">
        <v>37.700000000000003</v>
      </c>
      <c r="C58" s="219">
        <f t="shared" si="10"/>
        <v>120059.45623342175</v>
      </c>
      <c r="D58" s="224">
        <v>4526241.5</v>
      </c>
      <c r="E58" s="220">
        <f t="shared" si="8"/>
        <v>120609.45623342175</v>
      </c>
      <c r="F58" s="105">
        <v>4546976.5</v>
      </c>
      <c r="G58" s="221">
        <f t="shared" si="7"/>
        <v>121159.45623342175</v>
      </c>
      <c r="H58" s="105">
        <v>4567711.5</v>
      </c>
      <c r="I58" s="105"/>
      <c r="J58" s="105"/>
      <c r="K58" s="193" t="s">
        <v>3</v>
      </c>
    </row>
    <row r="59" spans="1:11" ht="15.75" thickBot="1">
      <c r="A59" s="48" t="s">
        <v>69</v>
      </c>
      <c r="B59" s="234">
        <v>55</v>
      </c>
      <c r="C59" s="222">
        <f t="shared" si="10"/>
        <v>105045.00000000001</v>
      </c>
      <c r="D59" s="225">
        <v>5777475.0000000009</v>
      </c>
      <c r="E59" s="223">
        <f t="shared" si="8"/>
        <v>105595.00000000001</v>
      </c>
      <c r="F59" s="106">
        <v>5807725.0000000009</v>
      </c>
      <c r="G59" s="226">
        <f t="shared" si="7"/>
        <v>106145.00000000001</v>
      </c>
      <c r="H59" s="227">
        <v>5837975.0000000009</v>
      </c>
      <c r="I59" s="227"/>
      <c r="J59" s="227"/>
      <c r="K59" s="196" t="s">
        <v>3</v>
      </c>
    </row>
    <row r="60" spans="1:11" ht="15.75" thickBot="1">
      <c r="A60" s="37" t="s">
        <v>70</v>
      </c>
      <c r="B60" s="230">
        <v>64.5</v>
      </c>
      <c r="C60" s="216">
        <f t="shared" si="10"/>
        <v>95667.920930232562</v>
      </c>
      <c r="D60" s="215">
        <v>6170580.9000000004</v>
      </c>
      <c r="E60" s="216">
        <f t="shared" si="8"/>
        <v>96217.920930232562</v>
      </c>
      <c r="F60" s="162">
        <v>6206055.9000000004</v>
      </c>
      <c r="G60" s="214"/>
      <c r="H60" s="215"/>
      <c r="I60" s="215"/>
      <c r="J60" s="215"/>
      <c r="K60" s="190" t="s">
        <v>3</v>
      </c>
    </row>
    <row r="61" spans="1:11" ht="15.75" thickBot="1">
      <c r="A61" s="37" t="s">
        <v>71</v>
      </c>
      <c r="B61" s="230">
        <v>64.5</v>
      </c>
      <c r="C61" s="216">
        <f t="shared" si="10"/>
        <v>97867.920930232562</v>
      </c>
      <c r="D61" s="215">
        <v>6312480.9000000004</v>
      </c>
      <c r="E61" s="216">
        <f t="shared" si="8"/>
        <v>98417.920930232562</v>
      </c>
      <c r="F61" s="215">
        <v>6347955.9000000004</v>
      </c>
      <c r="G61" s="214">
        <f t="shared" ref="G61" si="11">H61/B61</f>
        <v>98967.920930232562</v>
      </c>
      <c r="H61" s="215">
        <v>6383430.9000000004</v>
      </c>
      <c r="I61" s="215"/>
      <c r="J61" s="215"/>
      <c r="K61" s="190" t="s">
        <v>3</v>
      </c>
    </row>
    <row r="63" spans="1:11" ht="19.5" thickBot="1">
      <c r="A63" s="164" t="s">
        <v>135</v>
      </c>
      <c r="B63" s="1"/>
      <c r="C63" s="1"/>
      <c r="D63" s="1"/>
      <c r="E63" s="4"/>
      <c r="F63" s="4"/>
      <c r="G63" s="4"/>
      <c r="H63" s="4"/>
      <c r="I63" s="4"/>
      <c r="J63" s="4"/>
      <c r="K63" s="4"/>
    </row>
    <row r="64" spans="1:11" ht="45.75" thickBot="1">
      <c r="A64" s="35" t="s">
        <v>21</v>
      </c>
      <c r="B64" s="36" t="s">
        <v>54</v>
      </c>
      <c r="C64" s="36" t="s">
        <v>23</v>
      </c>
      <c r="D64" s="36" t="s">
        <v>24</v>
      </c>
      <c r="E64" s="36" t="s">
        <v>25</v>
      </c>
      <c r="F64" s="36" t="s">
        <v>24</v>
      </c>
      <c r="G64" s="36" t="s">
        <v>55</v>
      </c>
      <c r="H64" s="36" t="s">
        <v>24</v>
      </c>
      <c r="I64" s="36" t="s">
        <v>56</v>
      </c>
      <c r="J64" s="36" t="s">
        <v>24</v>
      </c>
      <c r="K64" s="50" t="s">
        <v>3</v>
      </c>
    </row>
    <row r="65" spans="1:11" ht="15.75" thickBot="1">
      <c r="A65" s="37" t="s">
        <v>57</v>
      </c>
      <c r="B65" s="230">
        <v>55.5</v>
      </c>
      <c r="C65" s="212"/>
      <c r="D65" s="212"/>
      <c r="E65" s="212"/>
      <c r="F65" s="213"/>
      <c r="G65" s="214">
        <f>H65/B65</f>
        <v>105164.50000000001</v>
      </c>
      <c r="H65" s="215">
        <v>5836629.7500000009</v>
      </c>
      <c r="I65" s="216">
        <f>J65/B65</f>
        <v>105719.50000000001</v>
      </c>
      <c r="J65" s="215">
        <v>5867432.2500000009</v>
      </c>
      <c r="K65" s="190" t="s">
        <v>3</v>
      </c>
    </row>
    <row r="66" spans="1:11">
      <c r="A66" s="39" t="s">
        <v>59</v>
      </c>
      <c r="B66" s="231">
        <v>21.3</v>
      </c>
      <c r="C66" s="146"/>
      <c r="D66" s="155"/>
      <c r="E66" s="217">
        <f>F66/B66</f>
        <v>157132.71000000002</v>
      </c>
      <c r="F66" s="155">
        <v>3346926.7230000007</v>
      </c>
      <c r="G66" s="218">
        <f t="shared" ref="G66:G81" si="12">H66/B66</f>
        <v>154527.54</v>
      </c>
      <c r="H66" s="155">
        <v>3291436.6020000004</v>
      </c>
      <c r="I66" s="155"/>
      <c r="J66" s="155"/>
      <c r="K66" s="191" t="s">
        <v>3</v>
      </c>
    </row>
    <row r="67" spans="1:11">
      <c r="A67" s="39" t="s">
        <v>61</v>
      </c>
      <c r="B67" s="232">
        <v>37</v>
      </c>
      <c r="C67" s="219">
        <f>D67/B67</f>
        <v>121039.5</v>
      </c>
      <c r="D67" s="105">
        <v>4478461.5</v>
      </c>
      <c r="E67" s="220">
        <f t="shared" ref="E67:E81" si="13">F67/B67</f>
        <v>121594.5</v>
      </c>
      <c r="F67" s="105">
        <v>4498996.5</v>
      </c>
      <c r="G67" s="221">
        <f t="shared" si="12"/>
        <v>122149.5</v>
      </c>
      <c r="H67" s="107">
        <v>4519531.5</v>
      </c>
      <c r="I67" s="107"/>
      <c r="J67" s="107"/>
      <c r="K67" s="191" t="s">
        <v>3</v>
      </c>
    </row>
    <row r="68" spans="1:11">
      <c r="A68" s="39" t="s">
        <v>62</v>
      </c>
      <c r="B68" s="232">
        <v>55</v>
      </c>
      <c r="C68" s="219">
        <f t="shared" ref="C68:C81" si="14">D68/B68</f>
        <v>107008.94454545455</v>
      </c>
      <c r="D68" s="105">
        <v>5885491.9500000002</v>
      </c>
      <c r="E68" s="220">
        <f t="shared" si="13"/>
        <v>107563.94454545455</v>
      </c>
      <c r="F68" s="105">
        <v>5916016.9500000002</v>
      </c>
      <c r="G68" s="221">
        <f t="shared" si="12"/>
        <v>107109.95454545456</v>
      </c>
      <c r="H68" s="107">
        <v>5891047.5000000009</v>
      </c>
      <c r="I68" s="107"/>
      <c r="J68" s="107"/>
      <c r="K68" s="191" t="s">
        <v>3</v>
      </c>
    </row>
    <row r="69" spans="1:11" ht="15.75" thickBot="1">
      <c r="A69" s="42" t="s">
        <v>63</v>
      </c>
      <c r="B69" s="233">
        <v>64.8</v>
      </c>
      <c r="C69" s="222">
        <f t="shared" si="14"/>
        <v>96561.531111111122</v>
      </c>
      <c r="D69" s="150">
        <v>6257187.216</v>
      </c>
      <c r="E69" s="223">
        <f t="shared" si="13"/>
        <v>97116.531111111122</v>
      </c>
      <c r="F69" s="106">
        <v>6293151.216</v>
      </c>
      <c r="G69" s="223">
        <f t="shared" si="12"/>
        <v>96814.611111111124</v>
      </c>
      <c r="H69" s="106">
        <v>6273586.8000000007</v>
      </c>
      <c r="I69" s="150"/>
      <c r="J69" s="106"/>
      <c r="K69" s="192" t="s">
        <v>3</v>
      </c>
    </row>
    <row r="70" spans="1:11">
      <c r="A70" s="39" t="s">
        <v>65</v>
      </c>
      <c r="B70" s="24">
        <v>34</v>
      </c>
      <c r="C70" s="219">
        <f t="shared" si="14"/>
        <v>122730.08823529413</v>
      </c>
      <c r="D70" s="107">
        <v>4172823.0000000005</v>
      </c>
      <c r="E70" s="217">
        <f t="shared" si="13"/>
        <v>123285.08823529413</v>
      </c>
      <c r="F70" s="155">
        <v>4191693.0000000005</v>
      </c>
      <c r="G70" s="218">
        <f t="shared" si="12"/>
        <v>123840.08823529411</v>
      </c>
      <c r="H70" s="107">
        <v>4210563</v>
      </c>
      <c r="I70" s="107"/>
      <c r="J70" s="107"/>
      <c r="K70" s="193" t="s">
        <v>3</v>
      </c>
    </row>
    <row r="71" spans="1:11">
      <c r="A71" s="39" t="s">
        <v>65</v>
      </c>
      <c r="B71" s="24">
        <v>37</v>
      </c>
      <c r="C71" s="219">
        <f t="shared" si="14"/>
        <v>121039.5</v>
      </c>
      <c r="D71" s="105">
        <v>4478461.5</v>
      </c>
      <c r="E71" s="220">
        <f t="shared" si="13"/>
        <v>121594.5</v>
      </c>
      <c r="F71" s="105">
        <v>4498996.5</v>
      </c>
      <c r="G71" s="221">
        <f t="shared" si="12"/>
        <v>122149.5</v>
      </c>
      <c r="H71" s="105">
        <v>4519531.5</v>
      </c>
      <c r="I71" s="105"/>
      <c r="J71" s="105"/>
      <c r="K71" s="193" t="s">
        <v>3</v>
      </c>
    </row>
    <row r="72" spans="1:11">
      <c r="A72" s="39" t="s">
        <v>66</v>
      </c>
      <c r="B72" s="24">
        <v>51.1</v>
      </c>
      <c r="C72" s="219">
        <f t="shared" si="14"/>
        <v>108867.86594911937</v>
      </c>
      <c r="D72" s="105">
        <v>5563147.9500000002</v>
      </c>
      <c r="E72" s="220">
        <f t="shared" si="13"/>
        <v>109422.86594911937</v>
      </c>
      <c r="F72" s="105">
        <v>5591508.4500000002</v>
      </c>
      <c r="G72" s="221">
        <f t="shared" si="12"/>
        <v>109977.86594911937</v>
      </c>
      <c r="H72" s="105">
        <v>5619868.9500000002</v>
      </c>
      <c r="I72" s="105"/>
      <c r="J72" s="105"/>
      <c r="K72" s="193" t="s">
        <v>3</v>
      </c>
    </row>
    <row r="73" spans="1:11">
      <c r="A73" s="39" t="s">
        <v>65</v>
      </c>
      <c r="B73" s="24">
        <v>55</v>
      </c>
      <c r="C73" s="219">
        <f t="shared" si="14"/>
        <v>105999.95454545456</v>
      </c>
      <c r="D73" s="105">
        <v>5829997.5000000009</v>
      </c>
      <c r="E73" s="220">
        <f t="shared" si="13"/>
        <v>106554.95454545456</v>
      </c>
      <c r="F73" s="105">
        <v>5860522.5000000009</v>
      </c>
      <c r="G73" s="221">
        <f t="shared" si="12"/>
        <v>107109.95454545456</v>
      </c>
      <c r="H73" s="105">
        <v>5891047.5000000009</v>
      </c>
      <c r="I73" s="105"/>
      <c r="J73" s="105"/>
      <c r="K73" s="193" t="s">
        <v>3</v>
      </c>
    </row>
    <row r="74" spans="1:11" ht="15.75" thickBot="1">
      <c r="A74" s="46" t="s">
        <v>66</v>
      </c>
      <c r="B74" s="233">
        <v>56.5</v>
      </c>
      <c r="C74" s="222">
        <f t="shared" si="14"/>
        <v>106160.6946902655</v>
      </c>
      <c r="D74" s="150">
        <v>5998079.2500000009</v>
      </c>
      <c r="E74" s="223">
        <f t="shared" si="13"/>
        <v>106715.6946902655</v>
      </c>
      <c r="F74" s="106">
        <v>6029436.7500000009</v>
      </c>
      <c r="G74" s="222">
        <f t="shared" si="12"/>
        <v>107270.6946902655</v>
      </c>
      <c r="H74" s="106">
        <v>6060794.2500000009</v>
      </c>
      <c r="I74" s="106"/>
      <c r="J74" s="106"/>
      <c r="K74" s="194" t="s">
        <v>3</v>
      </c>
    </row>
    <row r="75" spans="1:11">
      <c r="A75" s="44" t="s">
        <v>67</v>
      </c>
      <c r="B75" s="231">
        <v>21.3</v>
      </c>
      <c r="C75" s="218">
        <f t="shared" si="14"/>
        <v>153417.54</v>
      </c>
      <c r="D75" s="218">
        <v>3267793.6020000004</v>
      </c>
      <c r="E75" s="217">
        <f t="shared" si="13"/>
        <v>153972.54</v>
      </c>
      <c r="F75" s="155">
        <v>3279615.1020000004</v>
      </c>
      <c r="G75" s="218">
        <f t="shared" si="12"/>
        <v>154527.54</v>
      </c>
      <c r="H75" s="155">
        <v>3291436.6020000004</v>
      </c>
      <c r="I75" s="155"/>
      <c r="J75" s="155"/>
      <c r="K75" s="195" t="s">
        <v>3</v>
      </c>
    </row>
    <row r="76" spans="1:11">
      <c r="A76" s="39" t="s">
        <v>68</v>
      </c>
      <c r="B76" s="24">
        <v>24.3</v>
      </c>
      <c r="C76" s="219"/>
      <c r="D76" s="107"/>
      <c r="E76" s="220">
        <f t="shared" si="13"/>
        <v>150836.87880000001</v>
      </c>
      <c r="F76" s="105">
        <v>3665336.15484</v>
      </c>
      <c r="G76" s="221">
        <f t="shared" si="12"/>
        <v>151391.87880000001</v>
      </c>
      <c r="H76" s="105">
        <v>3678822.65484</v>
      </c>
      <c r="I76" s="105"/>
      <c r="J76" s="105"/>
      <c r="K76" s="193" t="s">
        <v>3</v>
      </c>
    </row>
    <row r="77" spans="1:11">
      <c r="A77" s="39" t="s">
        <v>69</v>
      </c>
      <c r="B77" s="24">
        <v>37</v>
      </c>
      <c r="C77" s="219">
        <f t="shared" ref="C77:C81" si="15">D77/B77</f>
        <v>121039.5</v>
      </c>
      <c r="D77" s="224">
        <v>4478461.5</v>
      </c>
      <c r="E77" s="220">
        <f t="shared" si="13"/>
        <v>121594.5</v>
      </c>
      <c r="F77" s="105">
        <v>4498996.5</v>
      </c>
      <c r="G77" s="221">
        <f t="shared" si="12"/>
        <v>122149.5</v>
      </c>
      <c r="H77" s="105">
        <v>4519531.5</v>
      </c>
      <c r="I77" s="105"/>
      <c r="J77" s="105"/>
      <c r="K77" s="193" t="s">
        <v>3</v>
      </c>
    </row>
    <row r="78" spans="1:11">
      <c r="A78" s="39" t="s">
        <v>68</v>
      </c>
      <c r="B78" s="24">
        <v>37.700000000000003</v>
      </c>
      <c r="C78" s="219">
        <f t="shared" si="15"/>
        <v>121150.90583554377</v>
      </c>
      <c r="D78" s="224">
        <v>4567389.1500000004</v>
      </c>
      <c r="E78" s="220">
        <f t="shared" si="13"/>
        <v>121705.90583554377</v>
      </c>
      <c r="F78" s="105">
        <v>4588312.6500000004</v>
      </c>
      <c r="G78" s="221">
        <f t="shared" si="12"/>
        <v>122260.90583554377</v>
      </c>
      <c r="H78" s="105">
        <v>4609236.1500000004</v>
      </c>
      <c r="I78" s="105"/>
      <c r="J78" s="105"/>
      <c r="K78" s="193" t="s">
        <v>3</v>
      </c>
    </row>
    <row r="79" spans="1:11" ht="15.75" thickBot="1">
      <c r="A79" s="48" t="s">
        <v>69</v>
      </c>
      <c r="B79" s="234">
        <v>55</v>
      </c>
      <c r="C79" s="222">
        <f t="shared" si="15"/>
        <v>105999.95454545456</v>
      </c>
      <c r="D79" s="225">
        <v>5829997.5000000009</v>
      </c>
      <c r="E79" s="223">
        <f t="shared" si="13"/>
        <v>106554.95454545456</v>
      </c>
      <c r="F79" s="106">
        <v>5860522.5000000009</v>
      </c>
      <c r="G79" s="226">
        <f t="shared" si="12"/>
        <v>107109.95454545456</v>
      </c>
      <c r="H79" s="227">
        <v>5891047.5000000009</v>
      </c>
      <c r="I79" s="227"/>
      <c r="J79" s="227"/>
      <c r="K79" s="196" t="s">
        <v>3</v>
      </c>
    </row>
    <row r="80" spans="1:11" ht="15.75" thickBot="1">
      <c r="A80" s="37" t="s">
        <v>70</v>
      </c>
      <c r="B80" s="230">
        <v>64.5</v>
      </c>
      <c r="C80" s="216">
        <f t="shared" si="15"/>
        <v>96537.6293023256</v>
      </c>
      <c r="D80" s="215">
        <v>6226677.0900000008</v>
      </c>
      <c r="E80" s="216">
        <f t="shared" si="13"/>
        <v>97092.6293023256</v>
      </c>
      <c r="F80" s="162">
        <v>6262474.5900000008</v>
      </c>
      <c r="G80" s="214"/>
      <c r="H80" s="215"/>
      <c r="I80" s="215"/>
      <c r="J80" s="215"/>
      <c r="K80" s="190" t="s">
        <v>3</v>
      </c>
    </row>
    <row r="81" spans="1:11" ht="15.75" thickBot="1">
      <c r="A81" s="37" t="s">
        <v>71</v>
      </c>
      <c r="B81" s="230">
        <v>64.5</v>
      </c>
      <c r="C81" s="216">
        <f t="shared" si="15"/>
        <v>98757.6293023256</v>
      </c>
      <c r="D81" s="215">
        <v>6369867.0900000008</v>
      </c>
      <c r="E81" s="216">
        <f t="shared" si="13"/>
        <v>99312.6293023256</v>
      </c>
      <c r="F81" s="215">
        <v>6405664.5900000008</v>
      </c>
      <c r="G81" s="214">
        <f t="shared" ref="G81" si="16">H81/B81</f>
        <v>99867.6293023256</v>
      </c>
      <c r="H81" s="215">
        <v>6441462.0900000008</v>
      </c>
      <c r="I81" s="215"/>
      <c r="J81" s="215"/>
      <c r="K81" s="190" t="s">
        <v>3</v>
      </c>
    </row>
  </sheetData>
  <pageMargins left="0.31496062992125984" right="0.31496062992125984" top="0.35433070866141736" bottom="0.35433070866141736" header="0.31496062992125984" footer="0.31496062992125984"/>
  <pageSetup paperSize="9" scale="7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O59"/>
  <sheetViews>
    <sheetView topLeftCell="A19" zoomScale="90" zoomScaleNormal="90" workbookViewId="0">
      <selection activeCell="A42" sqref="A42"/>
    </sheetView>
  </sheetViews>
  <sheetFormatPr defaultColWidth="8.85546875" defaultRowHeight="15"/>
  <cols>
    <col min="1" max="1" width="36.140625" customWidth="1"/>
    <col min="2" max="2" width="9.85546875" style="3" customWidth="1"/>
    <col min="3" max="3" width="12.7109375" style="3" customWidth="1"/>
    <col min="4" max="4" width="11.42578125" style="3" customWidth="1"/>
    <col min="5" max="5" width="12.42578125" style="3" customWidth="1"/>
    <col min="6" max="6" width="12" style="3" customWidth="1"/>
    <col min="7" max="7" width="14.140625" style="3" customWidth="1"/>
    <col min="8" max="8" width="12.42578125" style="3" customWidth="1"/>
    <col min="9" max="9" width="13.140625" style="3" customWidth="1"/>
    <col min="10" max="10" width="12" style="3" customWidth="1"/>
    <col min="11" max="11" width="17.140625" style="3" customWidth="1"/>
    <col min="12" max="12" width="14.140625" customWidth="1"/>
    <col min="13" max="13" width="13" customWidth="1"/>
    <col min="14" max="14" width="8.85546875" customWidth="1"/>
    <col min="16" max="16" width="8.85546875" customWidth="1"/>
  </cols>
  <sheetData>
    <row r="1" spans="1:13" s="1" customFormat="1" ht="18.75">
      <c r="A1" s="164" t="s">
        <v>103</v>
      </c>
      <c r="E1" s="4"/>
      <c r="F1" s="4"/>
      <c r="G1" s="4"/>
      <c r="H1" s="4"/>
      <c r="I1" s="4"/>
      <c r="J1" s="4"/>
      <c r="K1" s="4"/>
    </row>
    <row r="2" spans="1:13" ht="46.5" customHeight="1">
      <c r="A2" s="35" t="s">
        <v>21</v>
      </c>
      <c r="B2" s="36" t="s">
        <v>54</v>
      </c>
      <c r="C2" s="36" t="s">
        <v>23</v>
      </c>
      <c r="D2" s="36" t="s">
        <v>24</v>
      </c>
      <c r="E2" s="36" t="s">
        <v>25</v>
      </c>
      <c r="F2" s="36" t="s">
        <v>24</v>
      </c>
      <c r="G2" s="36" t="s">
        <v>55</v>
      </c>
      <c r="H2" s="36" t="s">
        <v>24</v>
      </c>
      <c r="I2" s="36" t="s">
        <v>56</v>
      </c>
      <c r="J2" s="36" t="s">
        <v>24</v>
      </c>
      <c r="K2" s="50" t="s">
        <v>3</v>
      </c>
    </row>
    <row r="3" spans="1:13">
      <c r="A3" s="37" t="s">
        <v>57</v>
      </c>
      <c r="B3" s="38">
        <v>55.5</v>
      </c>
      <c r="C3" s="165"/>
      <c r="D3" s="166"/>
      <c r="E3" s="165"/>
      <c r="F3" s="167"/>
      <c r="G3" s="165">
        <v>101950</v>
      </c>
      <c r="H3" s="167">
        <f t="shared" ref="H3:H5" si="0">G3*B3</f>
        <v>5658225</v>
      </c>
      <c r="I3" s="168">
        <v>102450</v>
      </c>
      <c r="J3" s="167">
        <f t="shared" ref="J3" si="1">I3*B3</f>
        <v>5685975</v>
      </c>
      <c r="K3" s="51" t="s">
        <v>58</v>
      </c>
    </row>
    <row r="4" spans="1:13">
      <c r="A4" s="39" t="s">
        <v>59</v>
      </c>
      <c r="B4" s="40">
        <v>21.3</v>
      </c>
      <c r="C4" s="169"/>
      <c r="D4" s="170"/>
      <c r="E4" s="171">
        <v>141561</v>
      </c>
      <c r="F4" s="172">
        <f t="shared" ref="F4:F19" si="2">E4*B4</f>
        <v>3015249.3000000003</v>
      </c>
      <c r="G4" s="171">
        <v>139214</v>
      </c>
      <c r="H4" s="172">
        <f t="shared" si="0"/>
        <v>2965258.2</v>
      </c>
      <c r="I4" s="172"/>
      <c r="J4" s="172"/>
      <c r="K4" s="52" t="s">
        <v>60</v>
      </c>
    </row>
    <row r="5" spans="1:13">
      <c r="A5" s="39" t="s">
        <v>61</v>
      </c>
      <c r="B5" s="41">
        <v>37</v>
      </c>
      <c r="C5" s="173">
        <v>114450</v>
      </c>
      <c r="D5" s="174">
        <f t="shared" ref="D5:D13" si="3">C5*B5</f>
        <v>4234650</v>
      </c>
      <c r="E5" s="173">
        <v>114950</v>
      </c>
      <c r="F5" s="174">
        <f t="shared" si="2"/>
        <v>4253150</v>
      </c>
      <c r="G5" s="173">
        <v>115450</v>
      </c>
      <c r="H5" s="175">
        <f t="shared" si="0"/>
        <v>4271650</v>
      </c>
      <c r="I5" s="175"/>
      <c r="J5" s="175"/>
      <c r="K5" s="52" t="s">
        <v>60</v>
      </c>
    </row>
    <row r="6" spans="1:13">
      <c r="A6" s="39" t="s">
        <v>62</v>
      </c>
      <c r="B6" s="41">
        <v>55</v>
      </c>
      <c r="C6" s="176">
        <v>101859</v>
      </c>
      <c r="D6" s="174">
        <f t="shared" si="3"/>
        <v>5602245</v>
      </c>
      <c r="E6" s="176">
        <v>102359</v>
      </c>
      <c r="F6" s="174">
        <f t="shared" si="2"/>
        <v>5629745</v>
      </c>
      <c r="G6" s="176">
        <v>101950</v>
      </c>
      <c r="H6" s="175">
        <f t="shared" ref="H6" si="4">G6*B6</f>
        <v>5607250</v>
      </c>
      <c r="I6" s="175"/>
      <c r="J6" s="175"/>
      <c r="K6" s="52" t="s">
        <v>60</v>
      </c>
    </row>
    <row r="7" spans="1:13" ht="15.75" thickBot="1">
      <c r="A7" s="42" t="s">
        <v>63</v>
      </c>
      <c r="B7" s="43">
        <v>64.8</v>
      </c>
      <c r="C7" s="177">
        <v>91622</v>
      </c>
      <c r="D7" s="178">
        <f t="shared" si="3"/>
        <v>5937105.5999999996</v>
      </c>
      <c r="E7" s="177">
        <v>92122</v>
      </c>
      <c r="F7" s="179">
        <f t="shared" si="2"/>
        <v>5969505.5999999996</v>
      </c>
      <c r="G7" s="177">
        <v>91850</v>
      </c>
      <c r="H7" s="180">
        <f t="shared" ref="H7:H9" si="5">G7*B7</f>
        <v>5951880</v>
      </c>
      <c r="I7" s="181"/>
      <c r="J7" s="180"/>
      <c r="K7" s="53" t="s">
        <v>60</v>
      </c>
    </row>
    <row r="8" spans="1:13">
      <c r="A8" s="39" t="s">
        <v>65</v>
      </c>
      <c r="B8" s="45">
        <v>34</v>
      </c>
      <c r="C8" s="183">
        <v>116450</v>
      </c>
      <c r="D8" s="174">
        <f t="shared" si="3"/>
        <v>3959300</v>
      </c>
      <c r="E8" s="183">
        <v>116950</v>
      </c>
      <c r="F8" s="174">
        <f t="shared" si="2"/>
        <v>3976300</v>
      </c>
      <c r="G8" s="183">
        <v>117450</v>
      </c>
      <c r="H8" s="174">
        <f t="shared" si="5"/>
        <v>3993300</v>
      </c>
      <c r="I8" s="174"/>
      <c r="J8" s="174"/>
      <c r="K8" s="55" t="s">
        <v>58</v>
      </c>
    </row>
    <row r="9" spans="1:13">
      <c r="A9" s="39" t="s">
        <v>65</v>
      </c>
      <c r="B9" s="45">
        <v>37</v>
      </c>
      <c r="C9" s="183">
        <v>114450</v>
      </c>
      <c r="D9" s="174">
        <f t="shared" si="3"/>
        <v>4234650</v>
      </c>
      <c r="E9" s="183">
        <v>114950</v>
      </c>
      <c r="F9" s="174">
        <f t="shared" si="2"/>
        <v>4253150</v>
      </c>
      <c r="G9" s="183">
        <v>115450</v>
      </c>
      <c r="H9" s="174">
        <f t="shared" si="5"/>
        <v>4271650</v>
      </c>
      <c r="I9" s="174"/>
      <c r="J9" s="174"/>
      <c r="K9" s="55" t="s">
        <v>58</v>
      </c>
    </row>
    <row r="10" spans="1:13">
      <c r="A10" s="39" t="s">
        <v>66</v>
      </c>
      <c r="B10" s="45">
        <v>51.1</v>
      </c>
      <c r="C10" s="183">
        <v>103950</v>
      </c>
      <c r="D10" s="174">
        <f t="shared" si="3"/>
        <v>5311845</v>
      </c>
      <c r="E10" s="183">
        <v>104450</v>
      </c>
      <c r="F10" s="174">
        <f t="shared" si="2"/>
        <v>5337395</v>
      </c>
      <c r="G10" s="183">
        <v>104950</v>
      </c>
      <c r="H10" s="174">
        <f t="shared" ref="H10:H11" si="6">G10*B10</f>
        <v>5362945</v>
      </c>
      <c r="I10" s="174"/>
      <c r="J10" s="174"/>
      <c r="K10" s="55" t="s">
        <v>58</v>
      </c>
    </row>
    <row r="11" spans="1:13">
      <c r="A11" s="39" t="s">
        <v>65</v>
      </c>
      <c r="B11" s="45">
        <v>55</v>
      </c>
      <c r="C11" s="183">
        <v>100950</v>
      </c>
      <c r="D11" s="174">
        <f t="shared" si="3"/>
        <v>5552250</v>
      </c>
      <c r="E11" s="183">
        <v>101450</v>
      </c>
      <c r="F11" s="174">
        <f t="shared" si="2"/>
        <v>5579750</v>
      </c>
      <c r="G11" s="183">
        <v>101950</v>
      </c>
      <c r="H11" s="174">
        <f t="shared" si="6"/>
        <v>5607250</v>
      </c>
      <c r="I11" s="174"/>
      <c r="J11" s="174"/>
      <c r="K11" s="55" t="s">
        <v>58</v>
      </c>
    </row>
    <row r="12" spans="1:13">
      <c r="A12" s="46" t="s">
        <v>66</v>
      </c>
      <c r="B12" s="47">
        <v>56.5</v>
      </c>
      <c r="C12" s="184">
        <v>100950</v>
      </c>
      <c r="D12" s="178">
        <f t="shared" si="3"/>
        <v>5703675</v>
      </c>
      <c r="E12" s="177">
        <v>101450</v>
      </c>
      <c r="F12" s="179">
        <f t="shared" si="2"/>
        <v>5731925</v>
      </c>
      <c r="G12" s="177">
        <v>101950</v>
      </c>
      <c r="H12" s="180">
        <f t="shared" ref="H12:H17" si="7">G12*B12</f>
        <v>5760175</v>
      </c>
      <c r="I12" s="185"/>
      <c r="J12" s="185"/>
      <c r="K12" s="56" t="s">
        <v>58</v>
      </c>
    </row>
    <row r="13" spans="1:13">
      <c r="A13" s="44" t="s">
        <v>67</v>
      </c>
      <c r="B13" s="40">
        <v>21.3</v>
      </c>
      <c r="C13" s="182">
        <f>E13-500</f>
        <v>138214</v>
      </c>
      <c r="D13" s="182">
        <f t="shared" si="3"/>
        <v>2943958.2</v>
      </c>
      <c r="E13" s="182">
        <f>G13-500</f>
        <v>138714</v>
      </c>
      <c r="F13" s="172">
        <f t="shared" si="2"/>
        <v>2954608.2</v>
      </c>
      <c r="G13" s="182">
        <v>139214</v>
      </c>
      <c r="H13" s="172">
        <f t="shared" si="7"/>
        <v>2965258.2</v>
      </c>
      <c r="I13" s="172"/>
      <c r="J13" s="172"/>
      <c r="K13" s="54" t="s">
        <v>60</v>
      </c>
      <c r="M13" s="34"/>
    </row>
    <row r="14" spans="1:13">
      <c r="A14" s="39" t="s">
        <v>68</v>
      </c>
      <c r="B14" s="45">
        <v>24.3</v>
      </c>
      <c r="C14" s="174"/>
      <c r="D14" s="174"/>
      <c r="E14" s="183">
        <f>G14-500</f>
        <v>135889.07999999999</v>
      </c>
      <c r="F14" s="174">
        <f t="shared" si="2"/>
        <v>3302104.6439999999</v>
      </c>
      <c r="G14" s="183">
        <v>136389.07999999999</v>
      </c>
      <c r="H14" s="174">
        <f t="shared" si="7"/>
        <v>3314254.6439999999</v>
      </c>
      <c r="I14" s="174"/>
      <c r="J14" s="174"/>
      <c r="K14" s="55" t="s">
        <v>60</v>
      </c>
      <c r="M14" s="34"/>
    </row>
    <row r="15" spans="1:13">
      <c r="A15" s="39" t="s">
        <v>69</v>
      </c>
      <c r="B15" s="45">
        <v>37</v>
      </c>
      <c r="C15" s="183">
        <f>E15-500</f>
        <v>114450</v>
      </c>
      <c r="D15" s="183">
        <f>C15*B15</f>
        <v>4234650</v>
      </c>
      <c r="E15" s="183">
        <f>G15-500</f>
        <v>114950</v>
      </c>
      <c r="F15" s="174">
        <f t="shared" si="2"/>
        <v>4253150</v>
      </c>
      <c r="G15" s="183">
        <v>115450</v>
      </c>
      <c r="H15" s="174">
        <f t="shared" si="7"/>
        <v>4271650</v>
      </c>
      <c r="I15" s="174"/>
      <c r="J15" s="174"/>
      <c r="K15" s="55" t="s">
        <v>60</v>
      </c>
      <c r="L15" s="57"/>
      <c r="M15" s="34"/>
    </row>
    <row r="16" spans="1:13">
      <c r="A16" s="39" t="s">
        <v>68</v>
      </c>
      <c r="B16" s="45">
        <v>37.700000000000003</v>
      </c>
      <c r="C16" s="183">
        <f>E16-500</f>
        <v>114450</v>
      </c>
      <c r="D16" s="183">
        <f t="shared" ref="D16:D19" si="8">C16*B16</f>
        <v>4314765</v>
      </c>
      <c r="E16" s="183">
        <f>G16-500</f>
        <v>114950</v>
      </c>
      <c r="F16" s="174">
        <f t="shared" si="2"/>
        <v>4333615</v>
      </c>
      <c r="G16" s="183">
        <v>115450</v>
      </c>
      <c r="H16" s="174">
        <f t="shared" si="7"/>
        <v>4352465</v>
      </c>
      <c r="I16" s="174"/>
      <c r="J16" s="174"/>
      <c r="K16" s="55" t="s">
        <v>60</v>
      </c>
      <c r="L16" s="57"/>
      <c r="M16" s="34"/>
    </row>
    <row r="17" spans="1:13">
      <c r="A17" s="48" t="s">
        <v>69</v>
      </c>
      <c r="B17" s="49">
        <v>55</v>
      </c>
      <c r="C17" s="186">
        <f>E17-500</f>
        <v>100950</v>
      </c>
      <c r="D17" s="183">
        <f t="shared" si="8"/>
        <v>5552250</v>
      </c>
      <c r="E17" s="186">
        <f>G17-500</f>
        <v>101450</v>
      </c>
      <c r="F17" s="187">
        <f t="shared" si="2"/>
        <v>5579750</v>
      </c>
      <c r="G17" s="186">
        <v>101950</v>
      </c>
      <c r="H17" s="187">
        <f t="shared" si="7"/>
        <v>5607250</v>
      </c>
      <c r="I17" s="187"/>
      <c r="J17" s="187"/>
      <c r="K17" s="58" t="s">
        <v>60</v>
      </c>
      <c r="L17" s="57"/>
      <c r="M17" s="34"/>
    </row>
    <row r="18" spans="1:13">
      <c r="A18" s="37" t="s">
        <v>70</v>
      </c>
      <c r="B18" s="38">
        <v>64.5</v>
      </c>
      <c r="C18" s="168">
        <f>91622</f>
        <v>91622</v>
      </c>
      <c r="D18" s="167">
        <f t="shared" si="8"/>
        <v>5909619</v>
      </c>
      <c r="E18" s="168">
        <v>92122</v>
      </c>
      <c r="F18" s="167">
        <f t="shared" si="2"/>
        <v>5941869</v>
      </c>
      <c r="G18" s="188"/>
      <c r="H18" s="188"/>
      <c r="I18" s="188"/>
      <c r="J18" s="188"/>
      <c r="K18" s="51" t="s">
        <v>60</v>
      </c>
    </row>
    <row r="19" spans="1:13" ht="15.75" thickBot="1">
      <c r="A19" s="37" t="s">
        <v>71</v>
      </c>
      <c r="B19" s="38">
        <v>64.5</v>
      </c>
      <c r="C19" s="168">
        <f>91622+2000</f>
        <v>93622</v>
      </c>
      <c r="D19" s="167">
        <f t="shared" si="8"/>
        <v>6038619</v>
      </c>
      <c r="E19" s="168">
        <f>92122+2000</f>
        <v>94122</v>
      </c>
      <c r="F19" s="167">
        <f t="shared" si="2"/>
        <v>6070869</v>
      </c>
      <c r="G19" s="189">
        <f>94122+500</f>
        <v>94622</v>
      </c>
      <c r="H19" s="188">
        <f>G19*B19</f>
        <v>6103119</v>
      </c>
      <c r="I19" s="188"/>
      <c r="J19" s="188"/>
      <c r="K19" s="51" t="s">
        <v>60</v>
      </c>
    </row>
    <row r="21" spans="1:13" ht="18.75">
      <c r="A21" s="164" t="s">
        <v>104</v>
      </c>
      <c r="B21" s="1"/>
      <c r="C21" s="1"/>
      <c r="D21" s="1"/>
      <c r="E21" s="4"/>
      <c r="F21" s="4"/>
      <c r="G21" s="4"/>
      <c r="H21" s="4"/>
      <c r="I21" s="4"/>
      <c r="J21" s="4"/>
      <c r="K21" s="4"/>
    </row>
    <row r="22" spans="1:13" ht="45">
      <c r="A22" s="35" t="s">
        <v>21</v>
      </c>
      <c r="B22" s="36" t="s">
        <v>54</v>
      </c>
      <c r="C22" s="36" t="s">
        <v>23</v>
      </c>
      <c r="D22" s="36" t="s">
        <v>24</v>
      </c>
      <c r="E22" s="36" t="s">
        <v>25</v>
      </c>
      <c r="F22" s="36" t="s">
        <v>24</v>
      </c>
      <c r="G22" s="36" t="s">
        <v>55</v>
      </c>
      <c r="H22" s="36" t="s">
        <v>24</v>
      </c>
      <c r="I22" s="36" t="s">
        <v>56</v>
      </c>
      <c r="J22" s="36" t="s">
        <v>24</v>
      </c>
      <c r="K22" s="50" t="s">
        <v>3</v>
      </c>
    </row>
    <row r="23" spans="1:13">
      <c r="A23" s="37" t="s">
        <v>57</v>
      </c>
      <c r="B23" s="38">
        <v>55.5</v>
      </c>
      <c r="C23" s="165"/>
      <c r="D23" s="166"/>
      <c r="E23" s="165"/>
      <c r="F23" s="167"/>
      <c r="G23" s="165">
        <f>H23/B23</f>
        <v>96852.5</v>
      </c>
      <c r="H23" s="167">
        <v>5375313.75</v>
      </c>
      <c r="I23" s="168">
        <f>J23/B23</f>
        <v>97327.5</v>
      </c>
      <c r="J23" s="167">
        <v>5401676.25</v>
      </c>
      <c r="K23" s="51" t="s">
        <v>58</v>
      </c>
    </row>
    <row r="24" spans="1:13">
      <c r="A24" s="39" t="s">
        <v>59</v>
      </c>
      <c r="B24" s="40">
        <v>21.3</v>
      </c>
      <c r="C24" s="169"/>
      <c r="D24" s="170"/>
      <c r="E24" s="171">
        <f t="shared" ref="E24:E32" si="9">F24/B24</f>
        <v>134482.94999999998</v>
      </c>
      <c r="F24" s="172">
        <v>2864486.835</v>
      </c>
      <c r="G24" s="171">
        <f t="shared" ref="G24:G37" si="10">H24/B24</f>
        <v>132253.29999999999</v>
      </c>
      <c r="H24" s="172">
        <v>2816995.29</v>
      </c>
      <c r="I24" s="172"/>
      <c r="J24" s="172"/>
      <c r="K24" s="52" t="s">
        <v>60</v>
      </c>
    </row>
    <row r="25" spans="1:13">
      <c r="A25" s="39" t="s">
        <v>61</v>
      </c>
      <c r="B25" s="41">
        <v>37</v>
      </c>
      <c r="C25" s="173">
        <f t="shared" ref="C25:C33" si="11">D25/B25</f>
        <v>108727.5</v>
      </c>
      <c r="D25" s="174">
        <v>4022917.5</v>
      </c>
      <c r="E25" s="173">
        <f t="shared" si="9"/>
        <v>109202.5</v>
      </c>
      <c r="F25" s="174">
        <v>4040492.5</v>
      </c>
      <c r="G25" s="173">
        <f t="shared" si="10"/>
        <v>109677.5</v>
      </c>
      <c r="H25" s="175">
        <v>4058067.5</v>
      </c>
      <c r="I25" s="175"/>
      <c r="J25" s="175"/>
      <c r="K25" s="52" t="s">
        <v>60</v>
      </c>
    </row>
    <row r="26" spans="1:13">
      <c r="A26" s="39" t="s">
        <v>62</v>
      </c>
      <c r="B26" s="41">
        <v>55</v>
      </c>
      <c r="C26" s="176">
        <f t="shared" si="11"/>
        <v>96766.05</v>
      </c>
      <c r="D26" s="174">
        <v>5322132.75</v>
      </c>
      <c r="E26" s="176">
        <f t="shared" si="9"/>
        <v>97241.05</v>
      </c>
      <c r="F26" s="174">
        <v>5348257.75</v>
      </c>
      <c r="G26" s="176">
        <f t="shared" si="10"/>
        <v>96852.5</v>
      </c>
      <c r="H26" s="175">
        <v>5326887.5</v>
      </c>
      <c r="I26" s="175"/>
      <c r="J26" s="175"/>
      <c r="K26" s="52" t="s">
        <v>60</v>
      </c>
    </row>
    <row r="27" spans="1:13" ht="15.75" thickBot="1">
      <c r="A27" s="42" t="s">
        <v>63</v>
      </c>
      <c r="B27" s="43">
        <v>64.8</v>
      </c>
      <c r="C27" s="177">
        <f t="shared" si="11"/>
        <v>87040.900000000009</v>
      </c>
      <c r="D27" s="178">
        <v>5640250.3200000003</v>
      </c>
      <c r="E27" s="177">
        <f t="shared" si="9"/>
        <v>87515.900000000009</v>
      </c>
      <c r="F27" s="179">
        <v>5671030.3200000003</v>
      </c>
      <c r="G27" s="177">
        <f t="shared" si="10"/>
        <v>87257.5</v>
      </c>
      <c r="H27" s="180">
        <v>5654286</v>
      </c>
      <c r="I27" s="181"/>
      <c r="J27" s="180"/>
      <c r="K27" s="53" t="s">
        <v>60</v>
      </c>
    </row>
    <row r="28" spans="1:13">
      <c r="A28" s="39" t="s">
        <v>65</v>
      </c>
      <c r="B28" s="45">
        <v>34</v>
      </c>
      <c r="C28" s="183">
        <f t="shared" si="11"/>
        <v>110627.5</v>
      </c>
      <c r="D28" s="174">
        <v>3761335</v>
      </c>
      <c r="E28" s="183">
        <f t="shared" si="9"/>
        <v>111102.5</v>
      </c>
      <c r="F28" s="174">
        <v>3777485</v>
      </c>
      <c r="G28" s="183">
        <f t="shared" si="10"/>
        <v>111577.5</v>
      </c>
      <c r="H28" s="174">
        <v>3793635</v>
      </c>
      <c r="I28" s="174"/>
      <c r="J28" s="174"/>
      <c r="K28" s="55" t="s">
        <v>58</v>
      </c>
    </row>
    <row r="29" spans="1:13">
      <c r="A29" s="39" t="s">
        <v>65</v>
      </c>
      <c r="B29" s="45">
        <v>37</v>
      </c>
      <c r="C29" s="183">
        <f t="shared" si="11"/>
        <v>108727.5</v>
      </c>
      <c r="D29" s="174">
        <v>4022917.5</v>
      </c>
      <c r="E29" s="183">
        <f t="shared" si="9"/>
        <v>109202.5</v>
      </c>
      <c r="F29" s="174">
        <v>4040492.5</v>
      </c>
      <c r="G29" s="183">
        <f t="shared" si="10"/>
        <v>109677.5</v>
      </c>
      <c r="H29" s="174">
        <v>4058067.5</v>
      </c>
      <c r="I29" s="174"/>
      <c r="J29" s="174"/>
      <c r="K29" s="55" t="s">
        <v>58</v>
      </c>
    </row>
    <row r="30" spans="1:13">
      <c r="A30" s="39" t="s">
        <v>66</v>
      </c>
      <c r="B30" s="45">
        <v>51.1</v>
      </c>
      <c r="C30" s="183">
        <f t="shared" si="11"/>
        <v>98752.5</v>
      </c>
      <c r="D30" s="174">
        <v>5046252.75</v>
      </c>
      <c r="E30" s="183">
        <f t="shared" si="9"/>
        <v>99227.5</v>
      </c>
      <c r="F30" s="174">
        <v>5070525.25</v>
      </c>
      <c r="G30" s="183">
        <f t="shared" si="10"/>
        <v>99702.5</v>
      </c>
      <c r="H30" s="174">
        <v>5094797.75</v>
      </c>
      <c r="I30" s="174"/>
      <c r="J30" s="174"/>
      <c r="K30" s="55" t="s">
        <v>58</v>
      </c>
    </row>
    <row r="31" spans="1:13">
      <c r="A31" s="39" t="s">
        <v>65</v>
      </c>
      <c r="B31" s="45">
        <v>55</v>
      </c>
      <c r="C31" s="183">
        <f t="shared" si="11"/>
        <v>95902.5</v>
      </c>
      <c r="D31" s="174">
        <v>5274637.5</v>
      </c>
      <c r="E31" s="183">
        <f t="shared" si="9"/>
        <v>96377.5</v>
      </c>
      <c r="F31" s="174">
        <v>5300762.5</v>
      </c>
      <c r="G31" s="183">
        <f t="shared" si="10"/>
        <v>96852.5</v>
      </c>
      <c r="H31" s="174">
        <v>5326887.5</v>
      </c>
      <c r="I31" s="174"/>
      <c r="J31" s="174"/>
      <c r="K31" s="55" t="s">
        <v>58</v>
      </c>
    </row>
    <row r="32" spans="1:13">
      <c r="A32" s="46" t="s">
        <v>66</v>
      </c>
      <c r="B32" s="47">
        <v>56.5</v>
      </c>
      <c r="C32" s="184">
        <f t="shared" si="11"/>
        <v>95902.5</v>
      </c>
      <c r="D32" s="178">
        <v>5418491.25</v>
      </c>
      <c r="E32" s="177">
        <f t="shared" si="9"/>
        <v>96377.5</v>
      </c>
      <c r="F32" s="179">
        <v>5445328.75</v>
      </c>
      <c r="G32" s="177">
        <f t="shared" si="10"/>
        <v>96852.5</v>
      </c>
      <c r="H32" s="180">
        <v>5472166.25</v>
      </c>
      <c r="I32" s="185"/>
      <c r="J32" s="185"/>
      <c r="K32" s="56" t="s">
        <v>58</v>
      </c>
    </row>
    <row r="33" spans="1:15">
      <c r="A33" s="44" t="s">
        <v>67</v>
      </c>
      <c r="B33" s="40">
        <v>21.3</v>
      </c>
      <c r="C33" s="182">
        <f t="shared" si="11"/>
        <v>131303.29999999999</v>
      </c>
      <c r="D33" s="182">
        <f>2943958.2*0.95</f>
        <v>2796760.29</v>
      </c>
      <c r="E33" s="182">
        <f t="shared" ref="E33:E39" si="12">F33/B33</f>
        <v>131778.29999999999</v>
      </c>
      <c r="F33" s="172">
        <f>2954608.2*0.95</f>
        <v>2806877.79</v>
      </c>
      <c r="G33" s="182">
        <f t="shared" si="10"/>
        <v>132253.29999999999</v>
      </c>
      <c r="H33" s="172">
        <v>2816995.29</v>
      </c>
      <c r="I33" s="172"/>
      <c r="J33" s="172"/>
      <c r="K33" s="54" t="s">
        <v>60</v>
      </c>
      <c r="O33" s="34"/>
    </row>
    <row r="34" spans="1:15">
      <c r="A34" s="39" t="s">
        <v>68</v>
      </c>
      <c r="B34" s="45">
        <v>24.3</v>
      </c>
      <c r="C34" s="174"/>
      <c r="D34" s="174"/>
      <c r="E34" s="183">
        <f t="shared" si="12"/>
        <v>129094.62599999999</v>
      </c>
      <c r="F34" s="174">
        <f>3302104.644*0.95</f>
        <v>3136999.4117999999</v>
      </c>
      <c r="G34" s="183">
        <f t="shared" si="10"/>
        <v>129569.62599999999</v>
      </c>
      <c r="H34" s="174">
        <f>3314254.644*0.95</f>
        <v>3148541.9117999999</v>
      </c>
      <c r="I34" s="174"/>
      <c r="J34" s="174"/>
      <c r="K34" s="55" t="s">
        <v>60</v>
      </c>
      <c r="O34" s="34"/>
    </row>
    <row r="35" spans="1:15">
      <c r="A35" s="39" t="s">
        <v>69</v>
      </c>
      <c r="B35" s="45">
        <v>37</v>
      </c>
      <c r="C35" s="183">
        <f>D35/B35</f>
        <v>108727.5</v>
      </c>
      <c r="D35" s="183">
        <f>4234650*0.95</f>
        <v>4022917.5</v>
      </c>
      <c r="E35" s="183">
        <f t="shared" si="12"/>
        <v>109202.5</v>
      </c>
      <c r="F35" s="174">
        <f>4253150*0.95</f>
        <v>4040492.5</v>
      </c>
      <c r="G35" s="183">
        <f t="shared" si="10"/>
        <v>109677.5</v>
      </c>
      <c r="H35" s="174">
        <v>4058067.5</v>
      </c>
      <c r="I35" s="174"/>
      <c r="J35" s="174"/>
      <c r="K35" s="55" t="s">
        <v>60</v>
      </c>
      <c r="O35" s="34"/>
    </row>
    <row r="36" spans="1:15">
      <c r="A36" s="39" t="s">
        <v>68</v>
      </c>
      <c r="B36" s="45">
        <v>37.700000000000003</v>
      </c>
      <c r="C36" s="183">
        <f>D36/B36</f>
        <v>108727.49999999999</v>
      </c>
      <c r="D36" s="183">
        <f>4314765*0.95</f>
        <v>4099026.75</v>
      </c>
      <c r="E36" s="183">
        <f t="shared" si="12"/>
        <v>109202.49999999999</v>
      </c>
      <c r="F36" s="174">
        <f>4333615*0.95</f>
        <v>4116934.25</v>
      </c>
      <c r="G36" s="183">
        <f t="shared" si="10"/>
        <v>109677.49999999999</v>
      </c>
      <c r="H36" s="174">
        <v>4134841.75</v>
      </c>
      <c r="I36" s="174"/>
      <c r="J36" s="174"/>
      <c r="K36" s="55" t="s">
        <v>60</v>
      </c>
      <c r="O36" s="34"/>
    </row>
    <row r="37" spans="1:15">
      <c r="A37" s="46" t="s">
        <v>69</v>
      </c>
      <c r="B37" s="43">
        <v>55</v>
      </c>
      <c r="C37" s="177">
        <f>D37/B37</f>
        <v>95902.5</v>
      </c>
      <c r="D37" s="177">
        <f>5552250*0.95</f>
        <v>5274637.5</v>
      </c>
      <c r="E37" s="177">
        <f t="shared" si="12"/>
        <v>96377.5</v>
      </c>
      <c r="F37" s="180">
        <f>5579750*0.95</f>
        <v>5300762.5</v>
      </c>
      <c r="G37" s="177">
        <f t="shared" si="10"/>
        <v>96852.5</v>
      </c>
      <c r="H37" s="180">
        <v>5326887.5</v>
      </c>
      <c r="I37" s="180"/>
      <c r="J37" s="180"/>
      <c r="K37" s="53" t="s">
        <v>60</v>
      </c>
      <c r="O37" s="34"/>
    </row>
    <row r="38" spans="1:15">
      <c r="A38" s="37" t="s">
        <v>70</v>
      </c>
      <c r="B38" s="38">
        <v>64.5</v>
      </c>
      <c r="C38" s="168">
        <f>D38/B38</f>
        <v>87040.9</v>
      </c>
      <c r="D38" s="167">
        <f>5909619*0.95</f>
        <v>5614138.0499999998</v>
      </c>
      <c r="E38" s="168">
        <f t="shared" si="12"/>
        <v>87515.9</v>
      </c>
      <c r="F38" s="167">
        <f>5941869*0.95</f>
        <v>5644775.5499999998</v>
      </c>
      <c r="G38" s="188"/>
      <c r="H38" s="188"/>
      <c r="I38" s="188"/>
      <c r="J38" s="188"/>
      <c r="K38" s="51"/>
    </row>
    <row r="39" spans="1:15">
      <c r="A39" s="37" t="s">
        <v>71</v>
      </c>
      <c r="B39" s="38">
        <v>64.5</v>
      </c>
      <c r="C39" s="168">
        <f>D39/B39</f>
        <v>88940.9</v>
      </c>
      <c r="D39" s="167">
        <f>6038619*0.95</f>
        <v>5736688.0499999998</v>
      </c>
      <c r="E39" s="168">
        <f t="shared" si="12"/>
        <v>89415.9</v>
      </c>
      <c r="F39" s="167">
        <f>6070869*0.95</f>
        <v>5767325.5499999998</v>
      </c>
      <c r="G39" s="189">
        <f>H39/B39</f>
        <v>89890.9</v>
      </c>
      <c r="H39" s="188">
        <f>6103119*0.95</f>
        <v>5797963.0499999998</v>
      </c>
      <c r="I39" s="188"/>
      <c r="J39" s="188"/>
      <c r="K39" s="51" t="s">
        <v>60</v>
      </c>
    </row>
    <row r="41" spans="1:15" ht="19.5" thickBot="1">
      <c r="A41" s="164" t="s">
        <v>105</v>
      </c>
      <c r="B41" s="1"/>
      <c r="C41" s="1"/>
      <c r="D41" s="1"/>
      <c r="E41" s="4"/>
      <c r="F41" s="4"/>
      <c r="G41" s="4"/>
      <c r="H41" s="4"/>
      <c r="I41" s="4"/>
      <c r="J41" s="4"/>
      <c r="K41" s="4"/>
    </row>
    <row r="42" spans="1:15" ht="45.75" thickBot="1">
      <c r="A42" s="35" t="s">
        <v>21</v>
      </c>
      <c r="B42" s="36" t="s">
        <v>54</v>
      </c>
      <c r="C42" s="36" t="s">
        <v>23</v>
      </c>
      <c r="D42" s="36" t="s">
        <v>24</v>
      </c>
      <c r="E42" s="36" t="s">
        <v>25</v>
      </c>
      <c r="F42" s="36" t="s">
        <v>24</v>
      </c>
      <c r="G42" s="36" t="s">
        <v>55</v>
      </c>
      <c r="H42" s="36" t="s">
        <v>24</v>
      </c>
      <c r="I42" s="36" t="s">
        <v>56</v>
      </c>
      <c r="J42" s="36" t="s">
        <v>24</v>
      </c>
      <c r="K42" s="50" t="s">
        <v>3</v>
      </c>
    </row>
    <row r="43" spans="1:15" ht="15.75" thickBot="1">
      <c r="A43" s="37" t="s">
        <v>57</v>
      </c>
      <c r="B43" s="38">
        <v>55.5</v>
      </c>
      <c r="C43" s="165"/>
      <c r="D43" s="166"/>
      <c r="E43" s="165"/>
      <c r="F43" s="167"/>
      <c r="G43" s="165">
        <f>H43/B43</f>
        <v>109086.5</v>
      </c>
      <c r="H43" s="167">
        <v>6054300.75</v>
      </c>
      <c r="I43" s="168">
        <f>J43/B43</f>
        <v>109621.5</v>
      </c>
      <c r="J43" s="167">
        <v>6083993.25</v>
      </c>
      <c r="K43" s="51" t="s">
        <v>58</v>
      </c>
    </row>
    <row r="44" spans="1:15">
      <c r="A44" s="39" t="s">
        <v>59</v>
      </c>
      <c r="B44" s="40">
        <v>21.3</v>
      </c>
      <c r="C44" s="169"/>
      <c r="D44" s="170"/>
      <c r="E44" s="171">
        <f>F44/B44</f>
        <v>151470.27000000002</v>
      </c>
      <c r="F44" s="172">
        <v>3226316.7510000006</v>
      </c>
      <c r="G44" s="171">
        <f t="shared" ref="G44:G59" si="13">H44/B44</f>
        <v>148958.98000000001</v>
      </c>
      <c r="H44" s="172">
        <v>3172826.2740000002</v>
      </c>
      <c r="I44" s="172"/>
      <c r="J44" s="172"/>
      <c r="K44" s="52" t="s">
        <v>60</v>
      </c>
    </row>
    <row r="45" spans="1:15">
      <c r="A45" s="39" t="s">
        <v>61</v>
      </c>
      <c r="B45" s="41">
        <v>37</v>
      </c>
      <c r="C45" s="173">
        <f>D45/B45</f>
        <v>122461.5</v>
      </c>
      <c r="D45" s="174">
        <v>4531075.5</v>
      </c>
      <c r="E45" s="173">
        <f t="shared" ref="E45:E59" si="14">F45/B45</f>
        <v>122996.5</v>
      </c>
      <c r="F45" s="174">
        <v>4550870.5</v>
      </c>
      <c r="G45" s="173">
        <f t="shared" si="13"/>
        <v>123531.5</v>
      </c>
      <c r="H45" s="175">
        <v>4570665.5</v>
      </c>
      <c r="I45" s="175"/>
      <c r="J45" s="175"/>
      <c r="K45" s="52" t="s">
        <v>60</v>
      </c>
    </row>
    <row r="46" spans="1:15">
      <c r="A46" s="39" t="s">
        <v>62</v>
      </c>
      <c r="B46" s="41">
        <v>55</v>
      </c>
      <c r="C46" s="176">
        <f t="shared" ref="C46:C59" si="15">D46/B46</f>
        <v>108989.13</v>
      </c>
      <c r="D46" s="174">
        <v>5994402.1500000004</v>
      </c>
      <c r="E46" s="176">
        <f t="shared" si="14"/>
        <v>109524.13</v>
      </c>
      <c r="F46" s="174">
        <v>6023827.1500000004</v>
      </c>
      <c r="G46" s="176">
        <f t="shared" si="13"/>
        <v>109086.5</v>
      </c>
      <c r="H46" s="175">
        <v>5999757.5</v>
      </c>
      <c r="I46" s="175"/>
      <c r="J46" s="175"/>
      <c r="K46" s="52" t="s">
        <v>60</v>
      </c>
    </row>
    <row r="47" spans="1:15" ht="15.75" thickBot="1">
      <c r="A47" s="42" t="s">
        <v>63</v>
      </c>
      <c r="B47" s="43">
        <v>64.8</v>
      </c>
      <c r="C47" s="177">
        <f t="shared" si="15"/>
        <v>98035.54</v>
      </c>
      <c r="D47" s="178">
        <v>6352702.9919999996</v>
      </c>
      <c r="E47" s="177">
        <f t="shared" si="14"/>
        <v>98570.54</v>
      </c>
      <c r="F47" s="179">
        <v>6387370.9919999996</v>
      </c>
      <c r="G47" s="177">
        <f t="shared" si="13"/>
        <v>98279.500000000015</v>
      </c>
      <c r="H47" s="180">
        <v>6368511.6000000006</v>
      </c>
      <c r="I47" s="181"/>
      <c r="J47" s="180"/>
      <c r="K47" s="53" t="s">
        <v>60</v>
      </c>
    </row>
    <row r="48" spans="1:15">
      <c r="A48" s="39" t="s">
        <v>65</v>
      </c>
      <c r="B48" s="45">
        <v>34</v>
      </c>
      <c r="C48" s="183">
        <f t="shared" si="15"/>
        <v>124601.5</v>
      </c>
      <c r="D48" s="174">
        <v>4236451</v>
      </c>
      <c r="E48" s="183">
        <f t="shared" si="14"/>
        <v>125136.5</v>
      </c>
      <c r="F48" s="174">
        <v>4254641</v>
      </c>
      <c r="G48" s="183">
        <f t="shared" si="13"/>
        <v>125671.5</v>
      </c>
      <c r="H48" s="174">
        <v>4272831</v>
      </c>
      <c r="I48" s="174"/>
      <c r="J48" s="174"/>
      <c r="K48" s="55" t="s">
        <v>58</v>
      </c>
    </row>
    <row r="49" spans="1:11">
      <c r="A49" s="39" t="s">
        <v>65</v>
      </c>
      <c r="B49" s="45">
        <v>37</v>
      </c>
      <c r="C49" s="183">
        <f t="shared" si="15"/>
        <v>122461.5</v>
      </c>
      <c r="D49" s="174">
        <v>4531075.5</v>
      </c>
      <c r="E49" s="183">
        <f t="shared" si="14"/>
        <v>122996.5</v>
      </c>
      <c r="F49" s="174">
        <v>4550870.5</v>
      </c>
      <c r="G49" s="183">
        <f t="shared" si="13"/>
        <v>123531.5</v>
      </c>
      <c r="H49" s="174">
        <v>4570665.5</v>
      </c>
      <c r="I49" s="174"/>
      <c r="J49" s="174"/>
      <c r="K49" s="55" t="s">
        <v>58</v>
      </c>
    </row>
    <row r="50" spans="1:11">
      <c r="A50" s="39" t="s">
        <v>66</v>
      </c>
      <c r="B50" s="45">
        <v>51.1</v>
      </c>
      <c r="C50" s="183">
        <f t="shared" si="15"/>
        <v>111226.5</v>
      </c>
      <c r="D50" s="174">
        <v>5683674.1500000004</v>
      </c>
      <c r="E50" s="183">
        <f t="shared" si="14"/>
        <v>111761.5</v>
      </c>
      <c r="F50" s="174">
        <v>5711012.6500000004</v>
      </c>
      <c r="G50" s="183">
        <f t="shared" si="13"/>
        <v>112296.5</v>
      </c>
      <c r="H50" s="174">
        <v>5738351.1500000004</v>
      </c>
      <c r="I50" s="174"/>
      <c r="J50" s="174"/>
      <c r="K50" s="55" t="s">
        <v>58</v>
      </c>
    </row>
    <row r="51" spans="1:11">
      <c r="A51" s="39" t="s">
        <v>65</v>
      </c>
      <c r="B51" s="45">
        <v>55</v>
      </c>
      <c r="C51" s="183">
        <f t="shared" si="15"/>
        <v>108016.5</v>
      </c>
      <c r="D51" s="174">
        <v>5940907.5</v>
      </c>
      <c r="E51" s="183">
        <f t="shared" si="14"/>
        <v>108551.5</v>
      </c>
      <c r="F51" s="174">
        <v>5970332.5</v>
      </c>
      <c r="G51" s="183">
        <f t="shared" si="13"/>
        <v>109086.5</v>
      </c>
      <c r="H51" s="174">
        <v>5999757.5</v>
      </c>
      <c r="I51" s="174"/>
      <c r="J51" s="174"/>
      <c r="K51" s="55" t="s">
        <v>58</v>
      </c>
    </row>
    <row r="52" spans="1:11" ht="15.75" thickBot="1">
      <c r="A52" s="46" t="s">
        <v>66</v>
      </c>
      <c r="B52" s="47">
        <v>56.5</v>
      </c>
      <c r="C52" s="184">
        <f t="shared" si="15"/>
        <v>108016.5</v>
      </c>
      <c r="D52" s="178">
        <v>6102932.25</v>
      </c>
      <c r="E52" s="177">
        <f t="shared" si="14"/>
        <v>108551.5</v>
      </c>
      <c r="F52" s="179">
        <v>6133159.75</v>
      </c>
      <c r="G52" s="177">
        <f t="shared" si="13"/>
        <v>109086.5</v>
      </c>
      <c r="H52" s="180">
        <v>6163387.25</v>
      </c>
      <c r="I52" s="185"/>
      <c r="J52" s="185"/>
      <c r="K52" s="56" t="s">
        <v>58</v>
      </c>
    </row>
    <row r="53" spans="1:11">
      <c r="A53" s="236" t="s">
        <v>67</v>
      </c>
      <c r="B53" s="40">
        <v>21.3</v>
      </c>
      <c r="C53" s="182">
        <f t="shared" si="15"/>
        <v>147888.98000000001</v>
      </c>
      <c r="D53" s="182">
        <v>3150035.2740000002</v>
      </c>
      <c r="E53" s="182">
        <f t="shared" si="14"/>
        <v>148423.98000000001</v>
      </c>
      <c r="F53" s="172">
        <v>3161430.7740000002</v>
      </c>
      <c r="G53" s="182">
        <f t="shared" si="13"/>
        <v>148958.98000000001</v>
      </c>
      <c r="H53" s="172">
        <v>3172826.2740000002</v>
      </c>
      <c r="I53" s="172"/>
      <c r="J53" s="172"/>
      <c r="K53" s="54" t="s">
        <v>60</v>
      </c>
    </row>
    <row r="54" spans="1:11">
      <c r="A54" s="39" t="s">
        <v>68</v>
      </c>
      <c r="B54" s="45">
        <v>24.3</v>
      </c>
      <c r="C54" s="174">
        <f t="shared" si="15"/>
        <v>0</v>
      </c>
      <c r="D54" s="174"/>
      <c r="E54" s="183">
        <f t="shared" si="14"/>
        <v>145401.3156</v>
      </c>
      <c r="F54" s="174">
        <v>3533251.9690800002</v>
      </c>
      <c r="G54" s="183">
        <f t="shared" si="13"/>
        <v>145936.3156</v>
      </c>
      <c r="H54" s="174">
        <v>3546252.4690800002</v>
      </c>
      <c r="I54" s="174"/>
      <c r="J54" s="174"/>
      <c r="K54" s="55" t="s">
        <v>60</v>
      </c>
    </row>
    <row r="55" spans="1:11">
      <c r="A55" s="39" t="s">
        <v>69</v>
      </c>
      <c r="B55" s="45">
        <v>37</v>
      </c>
      <c r="C55" s="183">
        <f t="shared" si="15"/>
        <v>122461.5</v>
      </c>
      <c r="D55" s="183">
        <v>4531075.5</v>
      </c>
      <c r="E55" s="183">
        <f t="shared" si="14"/>
        <v>122996.5</v>
      </c>
      <c r="F55" s="174">
        <v>4550870.5</v>
      </c>
      <c r="G55" s="183">
        <f t="shared" si="13"/>
        <v>123531.5</v>
      </c>
      <c r="H55" s="174">
        <v>4570665.5</v>
      </c>
      <c r="I55" s="174"/>
      <c r="J55" s="174"/>
      <c r="K55" s="55" t="s">
        <v>60</v>
      </c>
    </row>
    <row r="56" spans="1:11">
      <c r="A56" s="39" t="s">
        <v>68</v>
      </c>
      <c r="B56" s="45">
        <v>37.700000000000003</v>
      </c>
      <c r="C56" s="183">
        <f t="shared" si="15"/>
        <v>122461.49999999999</v>
      </c>
      <c r="D56" s="183">
        <v>4616798.55</v>
      </c>
      <c r="E56" s="183">
        <f t="shared" si="14"/>
        <v>122996.49999999999</v>
      </c>
      <c r="F56" s="174">
        <v>4636968.05</v>
      </c>
      <c r="G56" s="183">
        <f t="shared" si="13"/>
        <v>123531.49999999999</v>
      </c>
      <c r="H56" s="174">
        <v>4657137.55</v>
      </c>
      <c r="I56" s="174"/>
      <c r="J56" s="174"/>
      <c r="K56" s="55" t="s">
        <v>60</v>
      </c>
    </row>
    <row r="57" spans="1:11" ht="15.75" thickBot="1">
      <c r="A57" s="48" t="s">
        <v>69</v>
      </c>
      <c r="B57" s="43">
        <v>55</v>
      </c>
      <c r="C57" s="177">
        <f t="shared" si="15"/>
        <v>108016.5</v>
      </c>
      <c r="D57" s="177">
        <v>5940907.5</v>
      </c>
      <c r="E57" s="177">
        <f t="shared" si="14"/>
        <v>108551.5</v>
      </c>
      <c r="F57" s="180">
        <v>5970332.5</v>
      </c>
      <c r="G57" s="177">
        <f t="shared" si="13"/>
        <v>109086.5</v>
      </c>
      <c r="H57" s="180">
        <v>5999757.5</v>
      </c>
      <c r="I57" s="180"/>
      <c r="J57" s="180"/>
      <c r="K57" s="58" t="s">
        <v>60</v>
      </c>
    </row>
    <row r="58" spans="1:11" ht="15.75" thickBot="1">
      <c r="A58" s="37" t="s">
        <v>70</v>
      </c>
      <c r="B58" s="38">
        <v>64.5</v>
      </c>
      <c r="C58" s="168">
        <f t="shared" si="15"/>
        <v>98035.540000000008</v>
      </c>
      <c r="D58" s="167">
        <v>6323292.3300000001</v>
      </c>
      <c r="E58" s="168">
        <f t="shared" si="14"/>
        <v>98570.540000000008</v>
      </c>
      <c r="F58" s="167">
        <v>6357799.8300000001</v>
      </c>
      <c r="G58" s="188">
        <f t="shared" si="13"/>
        <v>0</v>
      </c>
      <c r="H58" s="188"/>
      <c r="I58" s="188"/>
      <c r="J58" s="188"/>
      <c r="K58" s="51" t="s">
        <v>60</v>
      </c>
    </row>
    <row r="59" spans="1:11" ht="15.75" thickBot="1">
      <c r="A59" s="37" t="s">
        <v>71</v>
      </c>
      <c r="B59" s="38">
        <v>64.5</v>
      </c>
      <c r="C59" s="168">
        <f t="shared" si="15"/>
        <v>100175.54000000001</v>
      </c>
      <c r="D59" s="167">
        <v>6461322.3300000001</v>
      </c>
      <c r="E59" s="168">
        <f t="shared" si="14"/>
        <v>100710.54000000001</v>
      </c>
      <c r="F59" s="167">
        <v>6495829.8300000001</v>
      </c>
      <c r="G59" s="189">
        <f t="shared" si="13"/>
        <v>101245.54000000001</v>
      </c>
      <c r="H59" s="188">
        <v>6530337.3300000001</v>
      </c>
      <c r="I59" s="188"/>
      <c r="J59" s="188"/>
      <c r="K59" s="51" t="s">
        <v>60</v>
      </c>
    </row>
  </sheetData>
  <pageMargins left="0.31496062992126" right="0.31496062992126" top="0.35433070866141703" bottom="0.35433070866141703" header="0.31496062992126" footer="0.31496062992126"/>
  <pageSetup paperSize="9" scale="75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143"/>
  <sheetViews>
    <sheetView tabSelected="1" topLeftCell="A109" zoomScale="90" zoomScaleNormal="90" workbookViewId="0">
      <selection activeCell="L130" sqref="L130"/>
    </sheetView>
  </sheetViews>
  <sheetFormatPr defaultColWidth="8.85546875" defaultRowHeight="15"/>
  <cols>
    <col min="1" max="1" width="14.42578125" style="3" customWidth="1"/>
    <col min="2" max="2" width="10" customWidth="1"/>
    <col min="3" max="3" width="12.7109375" customWidth="1"/>
    <col min="4" max="4" width="12.42578125" customWidth="1"/>
    <col min="5" max="5" width="14.28515625" customWidth="1"/>
    <col min="6" max="6" width="14.7109375" customWidth="1"/>
    <col min="7" max="7" width="20" customWidth="1"/>
    <col min="8" max="8" width="12.7109375" customWidth="1"/>
    <col min="9" max="9" width="11.85546875" customWidth="1"/>
    <col min="10" max="10" width="16.5703125" customWidth="1"/>
    <col min="11" max="11" width="12.7109375" customWidth="1"/>
    <col min="12" max="12" width="15.85546875" customWidth="1"/>
    <col min="13" max="13" width="13" customWidth="1"/>
    <col min="14" max="14" width="13.140625" customWidth="1"/>
  </cols>
  <sheetData>
    <row r="1" spans="1:10" s="1" customFormat="1" ht="19.5" thickBot="1">
      <c r="A1" s="164" t="s">
        <v>136</v>
      </c>
      <c r="E1" s="4"/>
      <c r="F1" s="4"/>
      <c r="G1" s="4"/>
      <c r="H1" s="4"/>
      <c r="I1" s="4"/>
      <c r="J1" s="4"/>
    </row>
    <row r="2" spans="1:10" s="2" customFormat="1" ht="45">
      <c r="A2" s="5" t="s">
        <v>21</v>
      </c>
      <c r="B2" s="6" t="s">
        <v>72</v>
      </c>
      <c r="C2" s="7" t="s">
        <v>73</v>
      </c>
      <c r="D2" s="8" t="s">
        <v>74</v>
      </c>
      <c r="E2" s="7" t="s">
        <v>75</v>
      </c>
      <c r="F2" s="7" t="s">
        <v>74</v>
      </c>
      <c r="G2" s="9" t="s">
        <v>76</v>
      </c>
    </row>
    <row r="3" spans="1:10">
      <c r="A3" s="10" t="s">
        <v>77</v>
      </c>
      <c r="B3" s="11">
        <v>20.67</v>
      </c>
      <c r="C3" s="104">
        <v>116500</v>
      </c>
      <c r="D3" s="104">
        <f>C3*B3</f>
        <v>2408055</v>
      </c>
      <c r="E3" s="105"/>
      <c r="F3" s="105"/>
      <c r="G3" s="12" t="s">
        <v>7</v>
      </c>
    </row>
    <row r="4" spans="1:10" ht="15.75" thickBot="1">
      <c r="A4" s="114" t="s">
        <v>90</v>
      </c>
      <c r="B4" s="115">
        <v>52.97</v>
      </c>
      <c r="C4" s="116">
        <v>82153</v>
      </c>
      <c r="D4" s="116">
        <f>C4*B4</f>
        <v>4351644.41</v>
      </c>
      <c r="E4" s="106"/>
      <c r="F4" s="106"/>
      <c r="G4" s="117" t="s">
        <v>7</v>
      </c>
    </row>
    <row r="5" spans="1:10">
      <c r="A5" s="120" t="s">
        <v>91</v>
      </c>
      <c r="B5" s="20">
        <v>38.25</v>
      </c>
      <c r="C5" s="108">
        <v>97500</v>
      </c>
      <c r="D5" s="108">
        <f>C5*B5</f>
        <v>3729375</v>
      </c>
      <c r="E5" s="155"/>
      <c r="F5" s="155"/>
      <c r="G5" s="110" t="s">
        <v>7</v>
      </c>
      <c r="I5" s="33"/>
    </row>
    <row r="6" spans="1:10" ht="15.75" thickBot="1">
      <c r="A6" s="121" t="s">
        <v>91</v>
      </c>
      <c r="B6" s="115">
        <v>40.89</v>
      </c>
      <c r="C6" s="116">
        <v>94000</v>
      </c>
      <c r="D6" s="116">
        <f>C6*B6</f>
        <v>3843660</v>
      </c>
      <c r="E6" s="106"/>
      <c r="F6" s="106"/>
      <c r="G6" s="119" t="s">
        <v>7</v>
      </c>
      <c r="I6" s="33"/>
    </row>
    <row r="7" spans="1:10" s="2" customFormat="1">
      <c r="A7" s="22" t="s">
        <v>78</v>
      </c>
      <c r="B7" s="23">
        <v>38.25</v>
      </c>
      <c r="C7" s="156">
        <v>97500</v>
      </c>
      <c r="D7" s="107">
        <f>C7*B7</f>
        <v>3729375</v>
      </c>
      <c r="E7" s="219">
        <v>98500</v>
      </c>
      <c r="F7" s="107">
        <f>E7*B7</f>
        <v>3767625</v>
      </c>
      <c r="G7" s="25" t="s">
        <v>30</v>
      </c>
      <c r="I7" s="33"/>
    </row>
    <row r="8" spans="1:10" s="2" customFormat="1">
      <c r="A8" s="13" t="s">
        <v>79</v>
      </c>
      <c r="B8" s="14">
        <v>43.2</v>
      </c>
      <c r="C8" s="228">
        <v>92000</v>
      </c>
      <c r="D8" s="105">
        <f t="shared" ref="D8:D11" si="0">C8*B8</f>
        <v>3974400.0000000005</v>
      </c>
      <c r="E8" s="221">
        <v>93000</v>
      </c>
      <c r="F8" s="105">
        <f t="shared" ref="F8:F13" si="1">E8*B8</f>
        <v>4017600.0000000005</v>
      </c>
      <c r="G8" s="15" t="s">
        <v>30</v>
      </c>
      <c r="I8" s="33"/>
    </row>
    <row r="9" spans="1:10" s="2" customFormat="1">
      <c r="A9" s="13" t="s">
        <v>79</v>
      </c>
      <c r="B9" s="14">
        <v>45.32</v>
      </c>
      <c r="C9" s="228">
        <v>91000</v>
      </c>
      <c r="D9" s="105">
        <f t="shared" si="0"/>
        <v>4124120</v>
      </c>
      <c r="E9" s="221">
        <v>92000</v>
      </c>
      <c r="F9" s="105">
        <f t="shared" si="1"/>
        <v>4169440</v>
      </c>
      <c r="G9" s="15" t="s">
        <v>30</v>
      </c>
      <c r="I9" s="33"/>
    </row>
    <row r="10" spans="1:10" s="2" customFormat="1">
      <c r="A10" s="13" t="s">
        <v>79</v>
      </c>
      <c r="B10" s="14">
        <v>48.45</v>
      </c>
      <c r="C10" s="228">
        <v>87788</v>
      </c>
      <c r="D10" s="105">
        <f t="shared" si="0"/>
        <v>4253328.6000000006</v>
      </c>
      <c r="E10" s="221">
        <v>88788</v>
      </c>
      <c r="F10" s="105">
        <f t="shared" si="1"/>
        <v>4301778.6000000006</v>
      </c>
      <c r="G10" s="15" t="s">
        <v>30</v>
      </c>
      <c r="I10" s="33"/>
    </row>
    <row r="11" spans="1:10" s="2" customFormat="1">
      <c r="A11" s="16" t="s">
        <v>79</v>
      </c>
      <c r="B11" s="17">
        <v>55.52</v>
      </c>
      <c r="C11" s="157">
        <v>82153</v>
      </c>
      <c r="D11" s="106">
        <f t="shared" si="0"/>
        <v>4561134.5600000005</v>
      </c>
      <c r="E11" s="222">
        <v>83153</v>
      </c>
      <c r="F11" s="106">
        <f t="shared" si="1"/>
        <v>4616654.5600000005</v>
      </c>
      <c r="G11" s="18" t="s">
        <v>30</v>
      </c>
      <c r="I11" s="33"/>
    </row>
    <row r="12" spans="1:10">
      <c r="A12" s="19" t="s">
        <v>80</v>
      </c>
      <c r="B12" s="20">
        <v>18.95</v>
      </c>
      <c r="C12" s="108">
        <v>119500</v>
      </c>
      <c r="D12" s="104">
        <f>B12*C12</f>
        <v>2264525</v>
      </c>
      <c r="E12" s="108">
        <v>120500</v>
      </c>
      <c r="F12" s="108">
        <f t="shared" si="1"/>
        <v>2283475</v>
      </c>
      <c r="G12" s="110" t="s">
        <v>30</v>
      </c>
      <c r="I12" s="33"/>
    </row>
    <row r="13" spans="1:10">
      <c r="A13" s="10" t="s">
        <v>80</v>
      </c>
      <c r="B13" s="11">
        <v>20.67</v>
      </c>
      <c r="C13" s="104">
        <v>116500</v>
      </c>
      <c r="D13" s="104">
        <f>C13*B13</f>
        <v>2408055</v>
      </c>
      <c r="E13" s="104">
        <v>117500</v>
      </c>
      <c r="F13" s="104">
        <f t="shared" si="1"/>
        <v>2428725</v>
      </c>
      <c r="G13" s="109" t="s">
        <v>30</v>
      </c>
      <c r="I13" s="33"/>
    </row>
    <row r="14" spans="1:10">
      <c r="A14" s="22" t="s">
        <v>81</v>
      </c>
      <c r="B14" s="23">
        <v>34.630000000000003</v>
      </c>
      <c r="C14" s="156">
        <v>101204</v>
      </c>
      <c r="D14" s="105">
        <f t="shared" ref="D14:D16" si="2">C14*B14</f>
        <v>3504694.5200000005</v>
      </c>
      <c r="E14" s="219">
        <v>102204</v>
      </c>
      <c r="F14" s="105">
        <f t="shared" ref="F14:F16" si="3">E14*B14</f>
        <v>3539324.5200000005</v>
      </c>
      <c r="G14" s="111" t="s">
        <v>30</v>
      </c>
      <c r="I14" s="33"/>
    </row>
    <row r="15" spans="1:10">
      <c r="A15" s="13" t="s">
        <v>82</v>
      </c>
      <c r="B15" s="14">
        <v>38.25</v>
      </c>
      <c r="C15" s="228">
        <v>97500</v>
      </c>
      <c r="D15" s="105">
        <f t="shared" si="2"/>
        <v>3729375</v>
      </c>
      <c r="E15" s="221">
        <v>98500</v>
      </c>
      <c r="F15" s="105">
        <f t="shared" si="3"/>
        <v>3767625</v>
      </c>
      <c r="G15" s="111" t="s">
        <v>30</v>
      </c>
      <c r="I15" s="33"/>
    </row>
    <row r="16" spans="1:10">
      <c r="A16" s="24" t="s">
        <v>81</v>
      </c>
      <c r="B16" s="14">
        <v>39</v>
      </c>
      <c r="C16" s="228">
        <v>97274</v>
      </c>
      <c r="D16" s="105">
        <f t="shared" si="2"/>
        <v>3793686</v>
      </c>
      <c r="E16" s="228">
        <v>98274</v>
      </c>
      <c r="F16" s="105">
        <f t="shared" si="3"/>
        <v>3832686</v>
      </c>
      <c r="G16" s="111" t="s">
        <v>30</v>
      </c>
      <c r="I16" s="33"/>
    </row>
    <row r="17" spans="1:9">
      <c r="A17" s="22" t="s">
        <v>83</v>
      </c>
      <c r="B17" s="23">
        <v>40.89</v>
      </c>
      <c r="C17" s="156">
        <v>94000</v>
      </c>
      <c r="D17" s="107">
        <f t="shared" ref="D17:D28" si="4">C17*B17</f>
        <v>3843660</v>
      </c>
      <c r="E17" s="219">
        <v>95000</v>
      </c>
      <c r="F17" s="107">
        <f t="shared" ref="F17:F28" si="5">E17*B17</f>
        <v>3884550</v>
      </c>
      <c r="G17" s="112" t="s">
        <v>30</v>
      </c>
      <c r="I17" s="33"/>
    </row>
    <row r="18" spans="1:9">
      <c r="A18" s="13" t="s">
        <v>83</v>
      </c>
      <c r="B18" s="14">
        <v>43.2</v>
      </c>
      <c r="C18" s="228">
        <v>92000</v>
      </c>
      <c r="D18" s="105">
        <f t="shared" si="4"/>
        <v>3974400.0000000005</v>
      </c>
      <c r="E18" s="221">
        <v>93000</v>
      </c>
      <c r="F18" s="105">
        <f t="shared" si="5"/>
        <v>4017600.0000000005</v>
      </c>
      <c r="G18" s="111" t="s">
        <v>30</v>
      </c>
      <c r="I18" s="33"/>
    </row>
    <row r="19" spans="1:9">
      <c r="A19" s="13" t="s">
        <v>83</v>
      </c>
      <c r="B19" s="14">
        <v>45.32</v>
      </c>
      <c r="C19" s="228">
        <v>91000</v>
      </c>
      <c r="D19" s="105">
        <f t="shared" si="4"/>
        <v>4124120</v>
      </c>
      <c r="E19" s="221">
        <v>92000</v>
      </c>
      <c r="F19" s="105">
        <f t="shared" si="5"/>
        <v>4169440</v>
      </c>
      <c r="G19" s="111" t="s">
        <v>30</v>
      </c>
      <c r="I19" s="33"/>
    </row>
    <row r="20" spans="1:9">
      <c r="A20" s="13" t="s">
        <v>83</v>
      </c>
      <c r="B20" s="14">
        <v>48.45</v>
      </c>
      <c r="C20" s="228">
        <v>87788</v>
      </c>
      <c r="D20" s="105">
        <f t="shared" si="4"/>
        <v>4253328.6000000006</v>
      </c>
      <c r="E20" s="221">
        <v>88788</v>
      </c>
      <c r="F20" s="105">
        <f t="shared" si="5"/>
        <v>4301778.6000000006</v>
      </c>
      <c r="G20" s="111" t="s">
        <v>30</v>
      </c>
      <c r="I20" s="33"/>
    </row>
    <row r="21" spans="1:9">
      <c r="A21" s="16" t="s">
        <v>83</v>
      </c>
      <c r="B21" s="17">
        <v>55.52</v>
      </c>
      <c r="C21" s="157">
        <v>82153</v>
      </c>
      <c r="D21" s="106">
        <f t="shared" si="4"/>
        <v>4561134.5600000005</v>
      </c>
      <c r="E21" s="222">
        <v>83153</v>
      </c>
      <c r="F21" s="106">
        <f t="shared" si="5"/>
        <v>4616654.5600000005</v>
      </c>
      <c r="G21" s="113" t="s">
        <v>30</v>
      </c>
      <c r="I21" s="33"/>
    </row>
    <row r="22" spans="1:9">
      <c r="A22" s="19" t="s">
        <v>84</v>
      </c>
      <c r="B22" s="20">
        <v>17</v>
      </c>
      <c r="C22" s="108">
        <f>125100+1000</f>
        <v>126100</v>
      </c>
      <c r="D22" s="108">
        <f t="shared" si="4"/>
        <v>2143700</v>
      </c>
      <c r="E22" s="108">
        <f>126100+1000</f>
        <v>127100</v>
      </c>
      <c r="F22" s="108">
        <f t="shared" si="5"/>
        <v>2160700</v>
      </c>
      <c r="G22" s="110" t="s">
        <v>30</v>
      </c>
      <c r="I22" s="33"/>
    </row>
    <row r="23" spans="1:9">
      <c r="A23" s="26" t="s">
        <v>84</v>
      </c>
      <c r="B23" s="11">
        <v>17.3</v>
      </c>
      <c r="C23" s="104">
        <f>125100+1000</f>
        <v>126100</v>
      </c>
      <c r="D23" s="104">
        <f t="shared" si="4"/>
        <v>2181530</v>
      </c>
      <c r="E23" s="104">
        <f>126100+1000</f>
        <v>127100</v>
      </c>
      <c r="F23" s="104">
        <f t="shared" si="5"/>
        <v>2198830</v>
      </c>
      <c r="G23" s="109" t="s">
        <v>30</v>
      </c>
      <c r="I23" s="33"/>
    </row>
    <row r="24" spans="1:9">
      <c r="A24" s="27" t="s">
        <v>84</v>
      </c>
      <c r="B24" s="11">
        <v>20</v>
      </c>
      <c r="C24" s="104">
        <f>120100+1000</f>
        <v>121100</v>
      </c>
      <c r="D24" s="104">
        <f t="shared" si="4"/>
        <v>2422000</v>
      </c>
      <c r="E24" s="104">
        <f>121100+1000</f>
        <v>122100</v>
      </c>
      <c r="F24" s="104">
        <f t="shared" si="5"/>
        <v>2442000</v>
      </c>
      <c r="G24" s="109" t="s">
        <v>30</v>
      </c>
      <c r="I24" s="33"/>
    </row>
    <row r="25" spans="1:9">
      <c r="A25" s="26" t="s">
        <v>84</v>
      </c>
      <c r="B25" s="11">
        <v>20.3</v>
      </c>
      <c r="C25" s="104">
        <f>120100+1000</f>
        <v>121100</v>
      </c>
      <c r="D25" s="104">
        <f t="shared" si="4"/>
        <v>2458330</v>
      </c>
      <c r="E25" s="104">
        <f>121100+1000</f>
        <v>122100</v>
      </c>
      <c r="F25" s="104">
        <f t="shared" si="5"/>
        <v>2478630</v>
      </c>
      <c r="G25" s="109" t="s">
        <v>30</v>
      </c>
      <c r="I25" s="33"/>
    </row>
    <row r="26" spans="1:9">
      <c r="A26" s="13" t="s">
        <v>85</v>
      </c>
      <c r="B26" s="14">
        <v>42.1</v>
      </c>
      <c r="C26" s="228">
        <f>92000+1000</f>
        <v>93000</v>
      </c>
      <c r="D26" s="105">
        <f t="shared" si="4"/>
        <v>3915300</v>
      </c>
      <c r="E26" s="221">
        <f>93000+1000</f>
        <v>94000</v>
      </c>
      <c r="F26" s="105">
        <f t="shared" si="5"/>
        <v>3957400</v>
      </c>
      <c r="G26" s="111" t="s">
        <v>30</v>
      </c>
      <c r="I26" s="33"/>
    </row>
    <row r="27" spans="1:9">
      <c r="A27" s="22" t="s">
        <v>86</v>
      </c>
      <c r="B27" s="14">
        <v>46.7</v>
      </c>
      <c r="C27" s="228">
        <f>91000+1000</f>
        <v>92000</v>
      </c>
      <c r="D27" s="105">
        <f t="shared" si="4"/>
        <v>4296400</v>
      </c>
      <c r="E27" s="221">
        <f>92000+1000</f>
        <v>93000</v>
      </c>
      <c r="F27" s="105">
        <f t="shared" si="5"/>
        <v>4343100</v>
      </c>
      <c r="G27" s="111" t="s">
        <v>30</v>
      </c>
      <c r="I27" s="33"/>
    </row>
    <row r="28" spans="1:9">
      <c r="A28" s="16" t="s">
        <v>86</v>
      </c>
      <c r="B28" s="17">
        <v>57.1</v>
      </c>
      <c r="C28" s="157">
        <f>82153+1000</f>
        <v>83153</v>
      </c>
      <c r="D28" s="106">
        <f t="shared" si="4"/>
        <v>4748036.3</v>
      </c>
      <c r="E28" s="222">
        <f>83153+1000</f>
        <v>84153</v>
      </c>
      <c r="F28" s="106">
        <f t="shared" si="5"/>
        <v>4805136.3</v>
      </c>
      <c r="G28" s="113" t="s">
        <v>30</v>
      </c>
      <c r="I28" s="33"/>
    </row>
    <row r="29" spans="1:9">
      <c r="A29" s="19" t="s">
        <v>87</v>
      </c>
      <c r="B29" s="20">
        <v>17</v>
      </c>
      <c r="C29" s="108">
        <v>125100</v>
      </c>
      <c r="D29" s="108">
        <f t="shared" ref="D29:D35" si="6">C29*B29</f>
        <v>2126700</v>
      </c>
      <c r="E29" s="108">
        <v>126100</v>
      </c>
      <c r="F29" s="108">
        <f t="shared" ref="F29:F35" si="7">E29*B29</f>
        <v>2143700</v>
      </c>
      <c r="G29" s="21" t="s">
        <v>7</v>
      </c>
      <c r="I29" s="33"/>
    </row>
    <row r="30" spans="1:9">
      <c r="A30" s="26" t="s">
        <v>87</v>
      </c>
      <c r="B30" s="11">
        <v>17.3</v>
      </c>
      <c r="C30" s="104">
        <v>125100</v>
      </c>
      <c r="D30" s="104">
        <f t="shared" si="6"/>
        <v>2164230</v>
      </c>
      <c r="E30" s="104">
        <v>126100</v>
      </c>
      <c r="F30" s="104">
        <f t="shared" si="7"/>
        <v>2181530</v>
      </c>
      <c r="G30" s="12" t="s">
        <v>7</v>
      </c>
      <c r="I30" s="33"/>
    </row>
    <row r="31" spans="1:9">
      <c r="A31" s="27" t="s">
        <v>87</v>
      </c>
      <c r="B31" s="11">
        <v>20</v>
      </c>
      <c r="C31" s="104">
        <v>120100</v>
      </c>
      <c r="D31" s="104">
        <f t="shared" si="6"/>
        <v>2402000</v>
      </c>
      <c r="E31" s="104">
        <v>121100</v>
      </c>
      <c r="F31" s="104">
        <f t="shared" si="7"/>
        <v>2422000</v>
      </c>
      <c r="G31" s="12" t="s">
        <v>7</v>
      </c>
      <c r="I31" s="33"/>
    </row>
    <row r="32" spans="1:9">
      <c r="A32" s="26" t="s">
        <v>87</v>
      </c>
      <c r="B32" s="11">
        <v>20.3</v>
      </c>
      <c r="C32" s="104">
        <v>120100</v>
      </c>
      <c r="D32" s="104">
        <f t="shared" si="6"/>
        <v>2438030</v>
      </c>
      <c r="E32" s="104">
        <v>121100</v>
      </c>
      <c r="F32" s="104">
        <f t="shared" si="7"/>
        <v>2458330</v>
      </c>
      <c r="G32" s="12" t="s">
        <v>7</v>
      </c>
      <c r="I32" s="33"/>
    </row>
    <row r="33" spans="1:9">
      <c r="A33" s="13" t="s">
        <v>88</v>
      </c>
      <c r="B33" s="14">
        <v>42.1</v>
      </c>
      <c r="C33" s="228">
        <v>92000</v>
      </c>
      <c r="D33" s="105">
        <f t="shared" si="6"/>
        <v>3873200</v>
      </c>
      <c r="E33" s="221">
        <v>93000</v>
      </c>
      <c r="F33" s="105">
        <f t="shared" si="7"/>
        <v>3915300</v>
      </c>
      <c r="G33" s="15" t="s">
        <v>7</v>
      </c>
      <c r="I33" s="33"/>
    </row>
    <row r="34" spans="1:9">
      <c r="A34" s="22" t="s">
        <v>89</v>
      </c>
      <c r="B34" s="14">
        <v>46.7</v>
      </c>
      <c r="C34" s="228">
        <v>91000</v>
      </c>
      <c r="D34" s="105">
        <f t="shared" si="6"/>
        <v>4249700</v>
      </c>
      <c r="E34" s="221">
        <v>92000</v>
      </c>
      <c r="F34" s="105">
        <f t="shared" si="7"/>
        <v>4296400</v>
      </c>
      <c r="G34" s="15" t="s">
        <v>7</v>
      </c>
      <c r="I34" s="33"/>
    </row>
    <row r="35" spans="1:9">
      <c r="A35" s="16" t="s">
        <v>89</v>
      </c>
      <c r="B35" s="17">
        <v>57.1</v>
      </c>
      <c r="C35" s="157">
        <v>82153</v>
      </c>
      <c r="D35" s="106">
        <f t="shared" si="6"/>
        <v>4690936.3</v>
      </c>
      <c r="E35" s="222">
        <v>83153</v>
      </c>
      <c r="F35" s="106">
        <f t="shared" si="7"/>
        <v>4748036.3</v>
      </c>
      <c r="G35" s="18" t="s">
        <v>7</v>
      </c>
      <c r="I35" s="33"/>
    </row>
    <row r="36" spans="1:9">
      <c r="A36" s="28"/>
      <c r="B36" s="29"/>
      <c r="C36" s="30"/>
      <c r="D36" s="31"/>
      <c r="E36" s="32"/>
      <c r="F36" s="31"/>
      <c r="G36" s="28"/>
      <c r="I36" s="33"/>
    </row>
    <row r="37" spans="1:9" ht="19.5" thickBot="1">
      <c r="A37" s="164" t="s">
        <v>137</v>
      </c>
      <c r="B37" s="1"/>
      <c r="C37" s="1"/>
      <c r="D37" s="1"/>
      <c r="E37" s="4"/>
      <c r="F37" s="1"/>
      <c r="G37" s="4"/>
    </row>
    <row r="38" spans="1:9" ht="45">
      <c r="A38" s="5" t="s">
        <v>21</v>
      </c>
      <c r="B38" s="6" t="s">
        <v>72</v>
      </c>
      <c r="C38" s="7" t="s">
        <v>73</v>
      </c>
      <c r="D38" s="8" t="s">
        <v>74</v>
      </c>
      <c r="E38" s="7" t="s">
        <v>75</v>
      </c>
      <c r="F38" s="7" t="s">
        <v>74</v>
      </c>
      <c r="G38" s="9" t="s">
        <v>76</v>
      </c>
    </row>
    <row r="39" spans="1:9">
      <c r="A39" s="10" t="s">
        <v>77</v>
      </c>
      <c r="B39" s="11">
        <v>20.67</v>
      </c>
      <c r="C39" s="104">
        <f>D39/B39</f>
        <v>110674.99999999999</v>
      </c>
      <c r="D39" s="104">
        <f>D3*0.95</f>
        <v>2287652.25</v>
      </c>
      <c r="E39" s="105"/>
      <c r="F39" s="105"/>
      <c r="G39" s="12" t="s">
        <v>7</v>
      </c>
      <c r="I39" s="33"/>
    </row>
    <row r="40" spans="1:9" ht="15.75" thickBot="1">
      <c r="A40" s="114" t="s">
        <v>90</v>
      </c>
      <c r="B40" s="115">
        <v>52.97</v>
      </c>
      <c r="C40" s="116">
        <f>D40/B40</f>
        <v>78045.350000000006</v>
      </c>
      <c r="D40" s="116">
        <f>4351644.41*0.95</f>
        <v>4134062.1894999999</v>
      </c>
      <c r="E40" s="106"/>
      <c r="F40" s="106"/>
      <c r="G40" s="117" t="s">
        <v>7</v>
      </c>
      <c r="I40" s="33"/>
    </row>
    <row r="41" spans="1:9">
      <c r="A41" s="118" t="s">
        <v>91</v>
      </c>
      <c r="B41" s="20">
        <v>38.25</v>
      </c>
      <c r="C41" s="108">
        <f>D41/B41</f>
        <v>92625</v>
      </c>
      <c r="D41" s="108">
        <f>3729375*0.95</f>
        <v>3542906.25</v>
      </c>
      <c r="E41" s="155"/>
      <c r="F41" s="155"/>
      <c r="G41" s="110" t="s">
        <v>7</v>
      </c>
      <c r="I41" s="33"/>
    </row>
    <row r="42" spans="1:9" ht="15.75" thickBot="1">
      <c r="A42" s="114" t="s">
        <v>91</v>
      </c>
      <c r="B42" s="115">
        <v>40.89</v>
      </c>
      <c r="C42" s="116">
        <f>D42/B42</f>
        <v>89300</v>
      </c>
      <c r="D42" s="116">
        <f>3843660*0.95</f>
        <v>3651477</v>
      </c>
      <c r="E42" s="106"/>
      <c r="F42" s="106"/>
      <c r="G42" s="119" t="s">
        <v>7</v>
      </c>
      <c r="I42" s="33"/>
    </row>
    <row r="43" spans="1:9">
      <c r="A43" s="22" t="s">
        <v>78</v>
      </c>
      <c r="B43" s="23">
        <v>38.25</v>
      </c>
      <c r="C43" s="156">
        <f>D43/B43</f>
        <v>92625</v>
      </c>
      <c r="D43" s="107">
        <v>3542906.25</v>
      </c>
      <c r="E43" s="219">
        <f>F43/B43</f>
        <v>93575</v>
      </c>
      <c r="F43" s="107">
        <v>3579243.75</v>
      </c>
      <c r="G43" s="25" t="s">
        <v>30</v>
      </c>
    </row>
    <row r="44" spans="1:9">
      <c r="A44" s="13" t="s">
        <v>79</v>
      </c>
      <c r="B44" s="14">
        <v>43.2</v>
      </c>
      <c r="C44" s="228">
        <f t="shared" ref="C44:C71" si="8">D44/B44</f>
        <v>87400</v>
      </c>
      <c r="D44" s="105">
        <v>3775680</v>
      </c>
      <c r="E44" s="221">
        <f t="shared" ref="E44:E71" si="9">F44/B44</f>
        <v>88350</v>
      </c>
      <c r="F44" s="105">
        <v>3816720</v>
      </c>
      <c r="G44" s="15" t="s">
        <v>30</v>
      </c>
    </row>
    <row r="45" spans="1:9">
      <c r="A45" s="13" t="s">
        <v>79</v>
      </c>
      <c r="B45" s="14">
        <v>45.32</v>
      </c>
      <c r="C45" s="228">
        <f t="shared" si="8"/>
        <v>86450</v>
      </c>
      <c r="D45" s="105">
        <v>3917914</v>
      </c>
      <c r="E45" s="221">
        <f t="shared" si="9"/>
        <v>87400</v>
      </c>
      <c r="F45" s="105">
        <v>3960968</v>
      </c>
      <c r="G45" s="15" t="s">
        <v>30</v>
      </c>
    </row>
    <row r="46" spans="1:9">
      <c r="A46" s="13" t="s">
        <v>79</v>
      </c>
      <c r="B46" s="14">
        <v>48.45</v>
      </c>
      <c r="C46" s="228">
        <f t="shared" si="8"/>
        <v>83398.599999999991</v>
      </c>
      <c r="D46" s="105">
        <v>4040662.17</v>
      </c>
      <c r="E46" s="221">
        <f t="shared" si="9"/>
        <v>84348.599999999991</v>
      </c>
      <c r="F46" s="105">
        <v>4086689.67</v>
      </c>
      <c r="G46" s="15" t="s">
        <v>30</v>
      </c>
    </row>
    <row r="47" spans="1:9">
      <c r="A47" s="16" t="s">
        <v>79</v>
      </c>
      <c r="B47" s="17">
        <v>55.52</v>
      </c>
      <c r="C47" s="157">
        <f t="shared" si="8"/>
        <v>78045.350000000006</v>
      </c>
      <c r="D47" s="106">
        <v>4333077.8320000004</v>
      </c>
      <c r="E47" s="222">
        <f t="shared" si="9"/>
        <v>78995.350000000006</v>
      </c>
      <c r="F47" s="106">
        <v>4385821.8320000004</v>
      </c>
      <c r="G47" s="18" t="s">
        <v>30</v>
      </c>
    </row>
    <row r="48" spans="1:9">
      <c r="A48" s="19" t="s">
        <v>80</v>
      </c>
      <c r="B48" s="20">
        <v>18.95</v>
      </c>
      <c r="C48" s="108">
        <f t="shared" si="8"/>
        <v>113525</v>
      </c>
      <c r="D48" s="104">
        <v>2151298.75</v>
      </c>
      <c r="E48" s="108">
        <f t="shared" si="9"/>
        <v>114475</v>
      </c>
      <c r="F48" s="108">
        <v>2169301.25</v>
      </c>
      <c r="G48" s="110" t="s">
        <v>30</v>
      </c>
    </row>
    <row r="49" spans="1:9">
      <c r="A49" s="10" t="s">
        <v>80</v>
      </c>
      <c r="B49" s="11">
        <v>20.67</v>
      </c>
      <c r="C49" s="104">
        <f t="shared" si="8"/>
        <v>110674.99999999999</v>
      </c>
      <c r="D49" s="104">
        <v>2287652.25</v>
      </c>
      <c r="E49" s="104">
        <f t="shared" si="9"/>
        <v>111624.99999999999</v>
      </c>
      <c r="F49" s="104">
        <v>2307288.75</v>
      </c>
      <c r="G49" s="109" t="s">
        <v>30</v>
      </c>
    </row>
    <row r="50" spans="1:9">
      <c r="A50" s="22" t="s">
        <v>81</v>
      </c>
      <c r="B50" s="23">
        <v>34.630000000000003</v>
      </c>
      <c r="C50" s="156">
        <f t="shared" si="8"/>
        <v>96143.8</v>
      </c>
      <c r="D50" s="105">
        <v>3329459.7940000002</v>
      </c>
      <c r="E50" s="219">
        <f t="shared" si="9"/>
        <v>97093.8</v>
      </c>
      <c r="F50" s="105">
        <v>3362358.2940000002</v>
      </c>
      <c r="G50" s="111" t="s">
        <v>30</v>
      </c>
    </row>
    <row r="51" spans="1:9">
      <c r="A51" s="13" t="s">
        <v>82</v>
      </c>
      <c r="B51" s="14">
        <v>38.25</v>
      </c>
      <c r="C51" s="228">
        <f t="shared" si="8"/>
        <v>92625</v>
      </c>
      <c r="D51" s="105">
        <v>3542906.25</v>
      </c>
      <c r="E51" s="221">
        <f t="shared" si="9"/>
        <v>93575</v>
      </c>
      <c r="F51" s="105">
        <v>3579243.75</v>
      </c>
      <c r="G51" s="111" t="s">
        <v>30</v>
      </c>
    </row>
    <row r="52" spans="1:9">
      <c r="A52" s="24" t="s">
        <v>81</v>
      </c>
      <c r="B52" s="14">
        <v>39</v>
      </c>
      <c r="C52" s="228">
        <f t="shared" si="8"/>
        <v>92410.3</v>
      </c>
      <c r="D52" s="105">
        <v>3604001.7</v>
      </c>
      <c r="E52" s="228">
        <f t="shared" si="9"/>
        <v>93360.3</v>
      </c>
      <c r="F52" s="105">
        <v>3641051.7</v>
      </c>
      <c r="G52" s="111" t="s">
        <v>30</v>
      </c>
    </row>
    <row r="53" spans="1:9">
      <c r="A53" s="22" t="s">
        <v>83</v>
      </c>
      <c r="B53" s="23">
        <v>40.89</v>
      </c>
      <c r="C53" s="156">
        <f t="shared" si="8"/>
        <v>89300</v>
      </c>
      <c r="D53" s="107">
        <v>3651477</v>
      </c>
      <c r="E53" s="219">
        <f t="shared" si="9"/>
        <v>90250</v>
      </c>
      <c r="F53" s="107">
        <v>3690322.5</v>
      </c>
      <c r="G53" s="112" t="s">
        <v>30</v>
      </c>
    </row>
    <row r="54" spans="1:9">
      <c r="A54" s="13" t="s">
        <v>83</v>
      </c>
      <c r="B54" s="14">
        <v>43.2</v>
      </c>
      <c r="C54" s="228">
        <f t="shared" si="8"/>
        <v>87400</v>
      </c>
      <c r="D54" s="105">
        <v>3775680</v>
      </c>
      <c r="E54" s="221">
        <f t="shared" si="9"/>
        <v>88350</v>
      </c>
      <c r="F54" s="105">
        <v>3816720</v>
      </c>
      <c r="G54" s="111" t="s">
        <v>30</v>
      </c>
    </row>
    <row r="55" spans="1:9">
      <c r="A55" s="13" t="s">
        <v>83</v>
      </c>
      <c r="B55" s="14">
        <v>45.32</v>
      </c>
      <c r="C55" s="228">
        <f t="shared" si="8"/>
        <v>86450</v>
      </c>
      <c r="D55" s="105">
        <v>3917914</v>
      </c>
      <c r="E55" s="221">
        <f t="shared" si="9"/>
        <v>87400</v>
      </c>
      <c r="F55" s="105">
        <v>3960968</v>
      </c>
      <c r="G55" s="111" t="s">
        <v>30</v>
      </c>
    </row>
    <row r="56" spans="1:9">
      <c r="A56" s="13" t="s">
        <v>83</v>
      </c>
      <c r="B56" s="14">
        <v>48.45</v>
      </c>
      <c r="C56" s="228">
        <f t="shared" si="8"/>
        <v>83398.599999999991</v>
      </c>
      <c r="D56" s="105">
        <v>4040662.17</v>
      </c>
      <c r="E56" s="221">
        <f t="shared" si="9"/>
        <v>84348.599999999991</v>
      </c>
      <c r="F56" s="105">
        <v>4086689.67</v>
      </c>
      <c r="G56" s="111" t="s">
        <v>30</v>
      </c>
    </row>
    <row r="57" spans="1:9">
      <c r="A57" s="16" t="s">
        <v>83</v>
      </c>
      <c r="B57" s="17">
        <v>55.52</v>
      </c>
      <c r="C57" s="157">
        <f t="shared" si="8"/>
        <v>78045.350000000006</v>
      </c>
      <c r="D57" s="106">
        <v>4333077.8320000004</v>
      </c>
      <c r="E57" s="222">
        <f t="shared" si="9"/>
        <v>78995.350000000006</v>
      </c>
      <c r="F57" s="106">
        <v>4385821.8320000004</v>
      </c>
      <c r="G57" s="113" t="s">
        <v>30</v>
      </c>
    </row>
    <row r="58" spans="1:9">
      <c r="A58" s="19" t="s">
        <v>84</v>
      </c>
      <c r="B58" s="20">
        <v>17</v>
      </c>
      <c r="C58" s="108">
        <f t="shared" ref="C58:C64" si="10">D58/B58</f>
        <v>119795</v>
      </c>
      <c r="D58" s="108">
        <f>2143700*0.95</f>
        <v>2036515</v>
      </c>
      <c r="E58" s="108">
        <f t="shared" ref="E58:E64" si="11">F58/B58</f>
        <v>120745</v>
      </c>
      <c r="F58" s="108">
        <f>2160700*0.95</f>
        <v>2052665</v>
      </c>
      <c r="G58" s="110" t="s">
        <v>30</v>
      </c>
      <c r="I58" s="33"/>
    </row>
    <row r="59" spans="1:9">
      <c r="A59" s="26" t="s">
        <v>84</v>
      </c>
      <c r="B59" s="11">
        <v>17.3</v>
      </c>
      <c r="C59" s="104">
        <f t="shared" si="10"/>
        <v>119795</v>
      </c>
      <c r="D59" s="104">
        <f>2181530*0.95</f>
        <v>2072453.5</v>
      </c>
      <c r="E59" s="104">
        <f t="shared" si="11"/>
        <v>120745</v>
      </c>
      <c r="F59" s="104">
        <f>2198830*0.95</f>
        <v>2088888.5</v>
      </c>
      <c r="G59" s="109" t="s">
        <v>30</v>
      </c>
      <c r="I59" s="33"/>
    </row>
    <row r="60" spans="1:9">
      <c r="A60" s="27" t="s">
        <v>84</v>
      </c>
      <c r="B60" s="11">
        <v>20</v>
      </c>
      <c r="C60" s="104">
        <f t="shared" si="10"/>
        <v>115045</v>
      </c>
      <c r="D60" s="104">
        <f>2422000*0.95</f>
        <v>2300900</v>
      </c>
      <c r="E60" s="104">
        <f t="shared" si="11"/>
        <v>115995</v>
      </c>
      <c r="F60" s="104">
        <f>2442000*0.95</f>
        <v>2319900</v>
      </c>
      <c r="G60" s="109" t="s">
        <v>30</v>
      </c>
      <c r="I60" s="33"/>
    </row>
    <row r="61" spans="1:9">
      <c r="A61" s="26" t="s">
        <v>84</v>
      </c>
      <c r="B61" s="11">
        <v>20.3</v>
      </c>
      <c r="C61" s="104">
        <f t="shared" si="10"/>
        <v>115045</v>
      </c>
      <c r="D61" s="104">
        <f>2458330*0.95</f>
        <v>2335413.5</v>
      </c>
      <c r="E61" s="104">
        <f t="shared" si="11"/>
        <v>115995</v>
      </c>
      <c r="F61" s="104">
        <f>2478630*0.95</f>
        <v>2354698.5</v>
      </c>
      <c r="G61" s="109" t="s">
        <v>30</v>
      </c>
      <c r="I61" s="33"/>
    </row>
    <row r="62" spans="1:9">
      <c r="A62" s="13" t="s">
        <v>85</v>
      </c>
      <c r="B62" s="14">
        <v>42.1</v>
      </c>
      <c r="C62" s="228">
        <f t="shared" si="10"/>
        <v>88350</v>
      </c>
      <c r="D62" s="105">
        <f>3915300*0.95</f>
        <v>3719535</v>
      </c>
      <c r="E62" s="221">
        <f t="shared" si="11"/>
        <v>89300</v>
      </c>
      <c r="F62" s="105">
        <f>3957400*0.95</f>
        <v>3759530</v>
      </c>
      <c r="G62" s="111" t="s">
        <v>30</v>
      </c>
      <c r="I62" s="33"/>
    </row>
    <row r="63" spans="1:9">
      <c r="A63" s="22" t="s">
        <v>86</v>
      </c>
      <c r="B63" s="14">
        <v>46.7</v>
      </c>
      <c r="C63" s="228">
        <f t="shared" si="10"/>
        <v>87400</v>
      </c>
      <c r="D63" s="105">
        <f>4296400*0.95</f>
        <v>4081580</v>
      </c>
      <c r="E63" s="221">
        <f t="shared" si="11"/>
        <v>88350</v>
      </c>
      <c r="F63" s="105">
        <f>4343100*0.95</f>
        <v>4125945</v>
      </c>
      <c r="G63" s="111" t="s">
        <v>30</v>
      </c>
      <c r="I63" s="33"/>
    </row>
    <row r="64" spans="1:9">
      <c r="A64" s="16" t="s">
        <v>86</v>
      </c>
      <c r="B64" s="17">
        <v>57.1</v>
      </c>
      <c r="C64" s="157">
        <f t="shared" si="10"/>
        <v>78995.349999999991</v>
      </c>
      <c r="D64" s="106">
        <f>4748036.3*0.95</f>
        <v>4510634.4849999994</v>
      </c>
      <c r="E64" s="222">
        <f t="shared" si="11"/>
        <v>79945.349999999991</v>
      </c>
      <c r="F64" s="106">
        <f>4805136.3*0.95</f>
        <v>4564879.4849999994</v>
      </c>
      <c r="G64" s="113" t="s">
        <v>30</v>
      </c>
      <c r="I64" s="33"/>
    </row>
    <row r="65" spans="1:11">
      <c r="A65" s="19" t="s">
        <v>87</v>
      </c>
      <c r="B65" s="20">
        <v>17</v>
      </c>
      <c r="C65" s="108">
        <f t="shared" si="8"/>
        <v>118845</v>
      </c>
      <c r="D65" s="108">
        <v>2020365</v>
      </c>
      <c r="E65" s="108">
        <f t="shared" si="9"/>
        <v>119795</v>
      </c>
      <c r="F65" s="108">
        <v>2036515</v>
      </c>
      <c r="G65" s="21" t="s">
        <v>7</v>
      </c>
    </row>
    <row r="66" spans="1:11">
      <c r="A66" s="26" t="s">
        <v>87</v>
      </c>
      <c r="B66" s="11">
        <v>17.3</v>
      </c>
      <c r="C66" s="104">
        <f t="shared" si="8"/>
        <v>118845</v>
      </c>
      <c r="D66" s="104">
        <v>2056018.5</v>
      </c>
      <c r="E66" s="104">
        <f t="shared" si="9"/>
        <v>119795</v>
      </c>
      <c r="F66" s="104">
        <v>2072453.5</v>
      </c>
      <c r="G66" s="12" t="s">
        <v>7</v>
      </c>
    </row>
    <row r="67" spans="1:11">
      <c r="A67" s="27" t="s">
        <v>87</v>
      </c>
      <c r="B67" s="11">
        <v>20</v>
      </c>
      <c r="C67" s="104">
        <f t="shared" si="8"/>
        <v>114095</v>
      </c>
      <c r="D67" s="104">
        <v>2281900</v>
      </c>
      <c r="E67" s="104">
        <f t="shared" si="9"/>
        <v>115045</v>
      </c>
      <c r="F67" s="104">
        <v>2300900</v>
      </c>
      <c r="G67" s="12" t="s">
        <v>7</v>
      </c>
    </row>
    <row r="68" spans="1:11">
      <c r="A68" s="26" t="s">
        <v>87</v>
      </c>
      <c r="B68" s="11">
        <v>20.3</v>
      </c>
      <c r="C68" s="104">
        <f t="shared" si="8"/>
        <v>114095</v>
      </c>
      <c r="D68" s="104">
        <v>2316128.5</v>
      </c>
      <c r="E68" s="104">
        <f t="shared" si="9"/>
        <v>115045</v>
      </c>
      <c r="F68" s="104">
        <v>2335413.5</v>
      </c>
      <c r="G68" s="12" t="s">
        <v>7</v>
      </c>
    </row>
    <row r="69" spans="1:11">
      <c r="A69" s="13" t="s">
        <v>88</v>
      </c>
      <c r="B69" s="14">
        <v>42.1</v>
      </c>
      <c r="C69" s="228">
        <f t="shared" si="8"/>
        <v>87400</v>
      </c>
      <c r="D69" s="105">
        <v>3679540</v>
      </c>
      <c r="E69" s="221">
        <f t="shared" si="9"/>
        <v>88350</v>
      </c>
      <c r="F69" s="105">
        <v>3719535</v>
      </c>
      <c r="G69" s="15" t="s">
        <v>7</v>
      </c>
    </row>
    <row r="70" spans="1:11">
      <c r="A70" s="22" t="s">
        <v>89</v>
      </c>
      <c r="B70" s="14">
        <v>46.7</v>
      </c>
      <c r="C70" s="228">
        <f t="shared" si="8"/>
        <v>86450</v>
      </c>
      <c r="D70" s="105">
        <v>4037215</v>
      </c>
      <c r="E70" s="221">
        <f t="shared" si="9"/>
        <v>87400</v>
      </c>
      <c r="F70" s="105">
        <v>4081580</v>
      </c>
      <c r="G70" s="15" t="s">
        <v>7</v>
      </c>
    </row>
    <row r="71" spans="1:11">
      <c r="A71" s="16" t="s">
        <v>89</v>
      </c>
      <c r="B71" s="17">
        <v>57.1</v>
      </c>
      <c r="C71" s="157">
        <f t="shared" si="8"/>
        <v>78045.350000000006</v>
      </c>
      <c r="D71" s="106">
        <v>4456389.4850000003</v>
      </c>
      <c r="E71" s="222">
        <f t="shared" si="9"/>
        <v>78995.350000000006</v>
      </c>
      <c r="F71" s="106">
        <v>4510634.4850000003</v>
      </c>
      <c r="G71" s="18" t="s">
        <v>7</v>
      </c>
    </row>
    <row r="73" spans="1:11" ht="19.5" thickBot="1">
      <c r="A73" s="164" t="s">
        <v>138</v>
      </c>
      <c r="B73" s="1"/>
      <c r="C73" s="1"/>
      <c r="D73" s="1"/>
      <c r="E73" s="4"/>
      <c r="F73" s="4"/>
      <c r="G73" s="4"/>
    </row>
    <row r="74" spans="1:11" ht="45">
      <c r="A74" s="5" t="s">
        <v>21</v>
      </c>
      <c r="B74" s="6" t="s">
        <v>72</v>
      </c>
      <c r="C74" s="7" t="s">
        <v>73</v>
      </c>
      <c r="D74" s="8" t="s">
        <v>74</v>
      </c>
      <c r="E74" s="7" t="s">
        <v>75</v>
      </c>
      <c r="F74" s="7" t="s">
        <v>74</v>
      </c>
      <c r="G74" s="9" t="s">
        <v>76</v>
      </c>
    </row>
    <row r="75" spans="1:11">
      <c r="A75" s="10" t="s">
        <v>77</v>
      </c>
      <c r="B75" s="11">
        <v>20.67</v>
      </c>
      <c r="C75" s="104">
        <f>D75/B75</f>
        <v>137120.5</v>
      </c>
      <c r="D75" s="104">
        <v>2834280.7350000003</v>
      </c>
      <c r="E75" s="105"/>
      <c r="F75" s="105"/>
      <c r="G75" s="12" t="s">
        <v>7</v>
      </c>
      <c r="K75" s="237"/>
    </row>
    <row r="76" spans="1:11" ht="15.75" thickBot="1">
      <c r="A76" s="114" t="s">
        <v>90</v>
      </c>
      <c r="B76" s="115">
        <v>52.97</v>
      </c>
      <c r="C76" s="116">
        <f t="shared" ref="C76:C107" si="12">D76/B76</f>
        <v>96694.081000000035</v>
      </c>
      <c r="D76" s="116">
        <v>5121885.4705700018</v>
      </c>
      <c r="E76" s="106"/>
      <c r="F76" s="106"/>
      <c r="G76" s="117" t="s">
        <v>7</v>
      </c>
      <c r="K76" s="237"/>
    </row>
    <row r="77" spans="1:11">
      <c r="A77" s="118" t="s">
        <v>91</v>
      </c>
      <c r="B77" s="20">
        <v>38.25</v>
      </c>
      <c r="C77" s="108">
        <f t="shared" si="12"/>
        <v>114757.5</v>
      </c>
      <c r="D77" s="108">
        <v>4389474.375</v>
      </c>
      <c r="E77" s="155"/>
      <c r="F77" s="155"/>
      <c r="G77" s="21" t="s">
        <v>7</v>
      </c>
      <c r="K77" s="237"/>
    </row>
    <row r="78" spans="1:11" ht="15.75" thickBot="1">
      <c r="A78" s="114" t="s">
        <v>91</v>
      </c>
      <c r="B78" s="115">
        <v>40.89</v>
      </c>
      <c r="C78" s="116">
        <f t="shared" si="12"/>
        <v>110638</v>
      </c>
      <c r="D78" s="116">
        <v>4523987.82</v>
      </c>
      <c r="E78" s="106"/>
      <c r="F78" s="106"/>
      <c r="G78" s="117" t="s">
        <v>7</v>
      </c>
      <c r="K78" s="237"/>
    </row>
    <row r="79" spans="1:11">
      <c r="A79" s="22" t="s">
        <v>78</v>
      </c>
      <c r="B79" s="23">
        <v>38.25</v>
      </c>
      <c r="C79" s="156">
        <f t="shared" si="12"/>
        <v>114757.5</v>
      </c>
      <c r="D79" s="107">
        <v>4389474.375</v>
      </c>
      <c r="E79" s="219">
        <f>F79/B79</f>
        <v>115934.50000000003</v>
      </c>
      <c r="F79" s="107">
        <v>4434494.6250000009</v>
      </c>
      <c r="G79" s="25" t="s">
        <v>30</v>
      </c>
      <c r="K79" s="237"/>
    </row>
    <row r="80" spans="1:11">
      <c r="A80" s="13" t="s">
        <v>79</v>
      </c>
      <c r="B80" s="14">
        <v>43.2</v>
      </c>
      <c r="C80" s="228">
        <f t="shared" si="12"/>
        <v>108284.00000000003</v>
      </c>
      <c r="D80" s="105">
        <v>4677868.8000000017</v>
      </c>
      <c r="E80" s="221">
        <f t="shared" ref="E80:E107" si="13">F80/B80</f>
        <v>109461.00000000001</v>
      </c>
      <c r="F80" s="105">
        <v>4728715.2000000011</v>
      </c>
      <c r="G80" s="15" t="s">
        <v>30</v>
      </c>
      <c r="K80" s="237"/>
    </row>
    <row r="81" spans="1:11">
      <c r="A81" s="13" t="s">
        <v>79</v>
      </c>
      <c r="B81" s="14">
        <v>45.32</v>
      </c>
      <c r="C81" s="228">
        <f t="shared" si="12"/>
        <v>107107.00000000003</v>
      </c>
      <c r="D81" s="105">
        <v>4854089.2400000012</v>
      </c>
      <c r="E81" s="221">
        <f t="shared" si="13"/>
        <v>108284</v>
      </c>
      <c r="F81" s="105">
        <v>4907430.88</v>
      </c>
      <c r="G81" s="15" t="s">
        <v>30</v>
      </c>
      <c r="K81" s="237"/>
    </row>
    <row r="82" spans="1:11">
      <c r="A82" s="13" t="s">
        <v>79</v>
      </c>
      <c r="B82" s="14">
        <v>48.45</v>
      </c>
      <c r="C82" s="228">
        <f t="shared" si="12"/>
        <v>103326.47600000002</v>
      </c>
      <c r="D82" s="105">
        <v>5006167.7622000016</v>
      </c>
      <c r="E82" s="221">
        <f t="shared" si="13"/>
        <v>104503.47600000001</v>
      </c>
      <c r="F82" s="105">
        <v>5063193.4122000011</v>
      </c>
      <c r="G82" s="15" t="s">
        <v>30</v>
      </c>
      <c r="K82" s="237"/>
    </row>
    <row r="83" spans="1:11" ht="15.75" thickBot="1">
      <c r="A83" s="16" t="s">
        <v>79</v>
      </c>
      <c r="B83" s="17">
        <v>55.52</v>
      </c>
      <c r="C83" s="157">
        <f t="shared" si="12"/>
        <v>96694.08100000002</v>
      </c>
      <c r="D83" s="106">
        <v>5368455.3771200012</v>
      </c>
      <c r="E83" s="222">
        <f t="shared" si="13"/>
        <v>97871.081000000035</v>
      </c>
      <c r="F83" s="106">
        <v>5433802.4171200022</v>
      </c>
      <c r="G83" s="18" t="s">
        <v>30</v>
      </c>
      <c r="K83" s="237"/>
    </row>
    <row r="84" spans="1:11">
      <c r="A84" s="19" t="s">
        <v>80</v>
      </c>
      <c r="B84" s="20">
        <v>18.95</v>
      </c>
      <c r="C84" s="108">
        <f t="shared" si="12"/>
        <v>140651.50000000003</v>
      </c>
      <c r="D84" s="104">
        <v>2665345.9250000003</v>
      </c>
      <c r="E84" s="108">
        <f t="shared" si="13"/>
        <v>141828.50000000003</v>
      </c>
      <c r="F84" s="108">
        <v>2687650.0750000002</v>
      </c>
      <c r="G84" s="21" t="s">
        <v>30</v>
      </c>
      <c r="K84" s="237"/>
    </row>
    <row r="85" spans="1:11">
      <c r="A85" s="10" t="s">
        <v>80</v>
      </c>
      <c r="B85" s="11">
        <v>20.67</v>
      </c>
      <c r="C85" s="104">
        <f t="shared" si="12"/>
        <v>137120.5</v>
      </c>
      <c r="D85" s="104">
        <v>2834280.7350000003</v>
      </c>
      <c r="E85" s="104">
        <f t="shared" si="13"/>
        <v>138297.5</v>
      </c>
      <c r="F85" s="104">
        <v>2858609.3250000002</v>
      </c>
      <c r="G85" s="12" t="s">
        <v>30</v>
      </c>
      <c r="K85" s="237"/>
    </row>
    <row r="86" spans="1:11">
      <c r="A86" s="22" t="s">
        <v>81</v>
      </c>
      <c r="B86" s="23">
        <v>34.630000000000003</v>
      </c>
      <c r="C86" s="156">
        <f t="shared" si="12"/>
        <v>119117.10800000002</v>
      </c>
      <c r="D86" s="105">
        <v>4125025.450040001</v>
      </c>
      <c r="E86" s="219">
        <f t="shared" si="13"/>
        <v>120294.10800000002</v>
      </c>
      <c r="F86" s="105">
        <v>4165784.9600400012</v>
      </c>
      <c r="G86" s="15" t="s">
        <v>30</v>
      </c>
      <c r="K86" s="237"/>
    </row>
    <row r="87" spans="1:11">
      <c r="A87" s="13" t="s">
        <v>82</v>
      </c>
      <c r="B87" s="14">
        <v>38.25</v>
      </c>
      <c r="C87" s="228">
        <f t="shared" si="12"/>
        <v>114757.5</v>
      </c>
      <c r="D87" s="105">
        <v>4389474.375</v>
      </c>
      <c r="E87" s="221">
        <f t="shared" si="13"/>
        <v>115934.50000000003</v>
      </c>
      <c r="F87" s="105">
        <v>4434494.6250000009</v>
      </c>
      <c r="G87" s="15" t="s">
        <v>30</v>
      </c>
      <c r="K87" s="237"/>
    </row>
    <row r="88" spans="1:11">
      <c r="A88" s="24" t="s">
        <v>81</v>
      </c>
      <c r="B88" s="14">
        <v>39</v>
      </c>
      <c r="C88" s="228">
        <f t="shared" si="12"/>
        <v>114491.49800000001</v>
      </c>
      <c r="D88" s="105">
        <v>4465168.4220000003</v>
      </c>
      <c r="E88" s="228">
        <f t="shared" si="13"/>
        <v>115668.49800000001</v>
      </c>
      <c r="F88" s="105">
        <v>4511071.4220000003</v>
      </c>
      <c r="G88" s="15" t="s">
        <v>30</v>
      </c>
      <c r="K88" s="237"/>
    </row>
    <row r="89" spans="1:11">
      <c r="A89" s="22" t="s">
        <v>83</v>
      </c>
      <c r="B89" s="23">
        <v>40.89</v>
      </c>
      <c r="C89" s="156">
        <f t="shared" si="12"/>
        <v>110638</v>
      </c>
      <c r="D89" s="107">
        <v>4523987.82</v>
      </c>
      <c r="E89" s="219">
        <f t="shared" si="13"/>
        <v>111815.00000000001</v>
      </c>
      <c r="F89" s="107">
        <v>4572115.3500000006</v>
      </c>
      <c r="G89" s="25" t="s">
        <v>30</v>
      </c>
      <c r="K89" s="237"/>
    </row>
    <row r="90" spans="1:11">
      <c r="A90" s="13" t="s">
        <v>83</v>
      </c>
      <c r="B90" s="14">
        <v>43.2</v>
      </c>
      <c r="C90" s="228">
        <f t="shared" si="12"/>
        <v>108284.00000000003</v>
      </c>
      <c r="D90" s="105">
        <v>4677868.8000000017</v>
      </c>
      <c r="E90" s="221">
        <f t="shared" si="13"/>
        <v>109461.00000000001</v>
      </c>
      <c r="F90" s="105">
        <v>4728715.2000000011</v>
      </c>
      <c r="G90" s="15" t="s">
        <v>30</v>
      </c>
      <c r="K90" s="237"/>
    </row>
    <row r="91" spans="1:11">
      <c r="A91" s="13" t="s">
        <v>83</v>
      </c>
      <c r="B91" s="14">
        <v>45.32</v>
      </c>
      <c r="C91" s="228">
        <f t="shared" si="12"/>
        <v>107107.00000000003</v>
      </c>
      <c r="D91" s="105">
        <v>4854089.2400000012</v>
      </c>
      <c r="E91" s="221">
        <f t="shared" si="13"/>
        <v>108284</v>
      </c>
      <c r="F91" s="105">
        <v>4907430.88</v>
      </c>
      <c r="G91" s="15" t="s">
        <v>30</v>
      </c>
      <c r="K91" s="237"/>
    </row>
    <row r="92" spans="1:11">
      <c r="A92" s="13" t="s">
        <v>83</v>
      </c>
      <c r="B92" s="14">
        <v>48.45</v>
      </c>
      <c r="C92" s="228">
        <f t="shared" si="12"/>
        <v>103326.47600000002</v>
      </c>
      <c r="D92" s="105">
        <v>5006167.7622000016</v>
      </c>
      <c r="E92" s="221">
        <f t="shared" si="13"/>
        <v>104503.47600000001</v>
      </c>
      <c r="F92" s="105">
        <v>5063193.4122000011</v>
      </c>
      <c r="G92" s="15" t="s">
        <v>30</v>
      </c>
      <c r="K92" s="237"/>
    </row>
    <row r="93" spans="1:11" ht="15.75" thickBot="1">
      <c r="A93" s="16" t="s">
        <v>83</v>
      </c>
      <c r="B93" s="17">
        <v>55.52</v>
      </c>
      <c r="C93" s="157">
        <f t="shared" si="12"/>
        <v>96694.08100000002</v>
      </c>
      <c r="D93" s="106">
        <v>5368455.3771200012</v>
      </c>
      <c r="E93" s="222">
        <f t="shared" si="13"/>
        <v>97871.081000000035</v>
      </c>
      <c r="F93" s="106">
        <v>5433802.4171200022</v>
      </c>
      <c r="G93" s="18" t="s">
        <v>30</v>
      </c>
      <c r="K93" s="237"/>
    </row>
    <row r="94" spans="1:11">
      <c r="A94" s="19" t="s">
        <v>84</v>
      </c>
      <c r="B94" s="20">
        <v>17</v>
      </c>
      <c r="C94" s="108">
        <f t="shared" si="12"/>
        <v>148419.70000000001</v>
      </c>
      <c r="D94" s="108">
        <v>2523134.9000000004</v>
      </c>
      <c r="E94" s="108">
        <f t="shared" si="13"/>
        <v>149596.70000000001</v>
      </c>
      <c r="F94" s="108">
        <v>2543143.9000000004</v>
      </c>
      <c r="G94" s="21" t="s">
        <v>30</v>
      </c>
      <c r="K94" s="237"/>
    </row>
    <row r="95" spans="1:11">
      <c r="A95" s="26" t="s">
        <v>84</v>
      </c>
      <c r="B95" s="11">
        <v>17.3</v>
      </c>
      <c r="C95" s="104">
        <f t="shared" si="12"/>
        <v>148419.70000000001</v>
      </c>
      <c r="D95" s="104">
        <v>2567660.8100000005</v>
      </c>
      <c r="E95" s="104">
        <f t="shared" si="13"/>
        <v>149596.70000000001</v>
      </c>
      <c r="F95" s="104">
        <v>2588022.91</v>
      </c>
      <c r="G95" s="12" t="s">
        <v>30</v>
      </c>
      <c r="K95" s="237"/>
    </row>
    <row r="96" spans="1:11">
      <c r="A96" s="27" t="s">
        <v>84</v>
      </c>
      <c r="B96" s="11">
        <v>20</v>
      </c>
      <c r="C96" s="104">
        <f t="shared" si="12"/>
        <v>142534.70000000001</v>
      </c>
      <c r="D96" s="104">
        <v>2850694</v>
      </c>
      <c r="E96" s="104">
        <f t="shared" si="13"/>
        <v>143711.70000000001</v>
      </c>
      <c r="F96" s="104">
        <v>2874234</v>
      </c>
      <c r="G96" s="12" t="s">
        <v>30</v>
      </c>
      <c r="K96" s="237"/>
    </row>
    <row r="97" spans="1:11">
      <c r="A97" s="26" t="s">
        <v>84</v>
      </c>
      <c r="B97" s="11">
        <v>20.3</v>
      </c>
      <c r="C97" s="104">
        <f t="shared" si="12"/>
        <v>142534.70000000001</v>
      </c>
      <c r="D97" s="104">
        <v>2893454.41</v>
      </c>
      <c r="E97" s="104">
        <f t="shared" si="13"/>
        <v>143711.70000000001</v>
      </c>
      <c r="F97" s="104">
        <v>2917347.5100000002</v>
      </c>
      <c r="G97" s="12" t="s">
        <v>30</v>
      </c>
      <c r="K97" s="237"/>
    </row>
    <row r="98" spans="1:11">
      <c r="A98" s="13" t="s">
        <v>85</v>
      </c>
      <c r="B98" s="14">
        <v>42.1</v>
      </c>
      <c r="C98" s="228">
        <f t="shared" si="12"/>
        <v>109461.00000000001</v>
      </c>
      <c r="D98" s="105">
        <v>4608308.1000000006</v>
      </c>
      <c r="E98" s="221">
        <f t="shared" si="13"/>
        <v>110638.00000000001</v>
      </c>
      <c r="F98" s="105">
        <v>4657859.8000000007</v>
      </c>
      <c r="G98" s="15" t="s">
        <v>30</v>
      </c>
      <c r="K98" s="237"/>
    </row>
    <row r="99" spans="1:11">
      <c r="A99" s="22" t="s">
        <v>86</v>
      </c>
      <c r="B99" s="14">
        <v>46.7</v>
      </c>
      <c r="C99" s="228">
        <f t="shared" si="12"/>
        <v>108284.00000000001</v>
      </c>
      <c r="D99" s="105">
        <v>5056862.8000000007</v>
      </c>
      <c r="E99" s="221">
        <f t="shared" si="13"/>
        <v>109461</v>
      </c>
      <c r="F99" s="105">
        <v>5111828.7</v>
      </c>
      <c r="G99" s="15" t="s">
        <v>30</v>
      </c>
      <c r="K99" s="237"/>
    </row>
    <row r="100" spans="1:11" ht="15.75" thickBot="1">
      <c r="A100" s="16" t="s">
        <v>86</v>
      </c>
      <c r="B100" s="17">
        <v>57.1</v>
      </c>
      <c r="C100" s="157">
        <f t="shared" si="12"/>
        <v>97871.081000000006</v>
      </c>
      <c r="D100" s="106">
        <v>5588438.7251000004</v>
      </c>
      <c r="E100" s="222">
        <f t="shared" si="13"/>
        <v>99048.081000000006</v>
      </c>
      <c r="F100" s="106">
        <v>5655645.4251000006</v>
      </c>
      <c r="G100" s="18" t="s">
        <v>30</v>
      </c>
      <c r="K100" s="237"/>
    </row>
    <row r="101" spans="1:11">
      <c r="A101" s="19" t="s">
        <v>87</v>
      </c>
      <c r="B101" s="20">
        <v>17</v>
      </c>
      <c r="C101" s="108">
        <f t="shared" si="12"/>
        <v>147242.70000000001</v>
      </c>
      <c r="D101" s="108">
        <v>2503125.9000000004</v>
      </c>
      <c r="E101" s="108">
        <f t="shared" si="13"/>
        <v>148419.70000000001</v>
      </c>
      <c r="F101" s="108">
        <v>2523134.9000000004</v>
      </c>
      <c r="G101" s="21" t="s">
        <v>7</v>
      </c>
      <c r="K101" s="237"/>
    </row>
    <row r="102" spans="1:11">
      <c r="A102" s="26" t="s">
        <v>87</v>
      </c>
      <c r="B102" s="11">
        <v>17.3</v>
      </c>
      <c r="C102" s="104">
        <f t="shared" si="12"/>
        <v>147242.70000000001</v>
      </c>
      <c r="D102" s="104">
        <v>2547298.7100000004</v>
      </c>
      <c r="E102" s="104">
        <f t="shared" si="13"/>
        <v>148419.70000000001</v>
      </c>
      <c r="F102" s="104">
        <v>2567660.8100000005</v>
      </c>
      <c r="G102" s="12" t="s">
        <v>7</v>
      </c>
      <c r="K102" s="237"/>
    </row>
    <row r="103" spans="1:11">
      <c r="A103" s="27" t="s">
        <v>87</v>
      </c>
      <c r="B103" s="11">
        <v>20</v>
      </c>
      <c r="C103" s="104">
        <f t="shared" si="12"/>
        <v>141357.70000000001</v>
      </c>
      <c r="D103" s="104">
        <v>2827154</v>
      </c>
      <c r="E103" s="104">
        <f t="shared" si="13"/>
        <v>142534.70000000001</v>
      </c>
      <c r="F103" s="104">
        <v>2850694</v>
      </c>
      <c r="G103" s="12" t="s">
        <v>7</v>
      </c>
      <c r="K103" s="237"/>
    </row>
    <row r="104" spans="1:11">
      <c r="A104" s="26" t="s">
        <v>87</v>
      </c>
      <c r="B104" s="11">
        <v>20.3</v>
      </c>
      <c r="C104" s="104">
        <f t="shared" si="12"/>
        <v>141357.70000000001</v>
      </c>
      <c r="D104" s="104">
        <v>2869561.3100000005</v>
      </c>
      <c r="E104" s="104">
        <f t="shared" si="13"/>
        <v>142534.70000000001</v>
      </c>
      <c r="F104" s="104">
        <v>2893454.41</v>
      </c>
      <c r="G104" s="12" t="s">
        <v>7</v>
      </c>
      <c r="K104" s="237"/>
    </row>
    <row r="105" spans="1:11">
      <c r="A105" s="13" t="s">
        <v>88</v>
      </c>
      <c r="B105" s="14">
        <v>42.1</v>
      </c>
      <c r="C105" s="228">
        <f t="shared" si="12"/>
        <v>108284.00000000003</v>
      </c>
      <c r="D105" s="105">
        <v>4558756.4000000013</v>
      </c>
      <c r="E105" s="221">
        <f t="shared" si="13"/>
        <v>109461.00000000001</v>
      </c>
      <c r="F105" s="105">
        <v>4608308.1000000006</v>
      </c>
      <c r="G105" s="15" t="s">
        <v>7</v>
      </c>
      <c r="K105" s="237"/>
    </row>
    <row r="106" spans="1:11">
      <c r="A106" s="22" t="s">
        <v>89</v>
      </c>
      <c r="B106" s="14">
        <v>46.7</v>
      </c>
      <c r="C106" s="228">
        <f t="shared" si="12"/>
        <v>107107</v>
      </c>
      <c r="D106" s="105">
        <v>5001896.9000000004</v>
      </c>
      <c r="E106" s="221">
        <f t="shared" si="13"/>
        <v>108284.00000000001</v>
      </c>
      <c r="F106" s="105">
        <v>5056862.8000000007</v>
      </c>
      <c r="G106" s="15" t="s">
        <v>7</v>
      </c>
      <c r="K106" s="237"/>
    </row>
    <row r="107" spans="1:11" ht="15.75" thickBot="1">
      <c r="A107" s="16" t="s">
        <v>89</v>
      </c>
      <c r="B107" s="17">
        <v>57.1</v>
      </c>
      <c r="C107" s="157">
        <f t="shared" si="12"/>
        <v>96694.081000000006</v>
      </c>
      <c r="D107" s="106">
        <v>5521232.0251000002</v>
      </c>
      <c r="E107" s="222">
        <f t="shared" si="13"/>
        <v>97871.081000000006</v>
      </c>
      <c r="F107" s="106">
        <v>5588438.7251000004</v>
      </c>
      <c r="G107" s="18" t="s">
        <v>7</v>
      </c>
      <c r="K107" s="237"/>
    </row>
    <row r="109" spans="1:11" ht="19.5" thickBot="1">
      <c r="A109" s="164" t="s">
        <v>139</v>
      </c>
      <c r="B109" s="1"/>
      <c r="C109" s="1"/>
      <c r="D109" s="1"/>
      <c r="E109" s="4"/>
      <c r="F109" s="4"/>
      <c r="G109" s="4"/>
      <c r="H109" s="4"/>
      <c r="I109" s="4"/>
      <c r="J109" s="4"/>
      <c r="K109" s="1"/>
    </row>
    <row r="110" spans="1:11" ht="45">
      <c r="A110" s="5" t="s">
        <v>21</v>
      </c>
      <c r="B110" s="6" t="s">
        <v>72</v>
      </c>
      <c r="C110" s="7" t="s">
        <v>73</v>
      </c>
      <c r="D110" s="8" t="s">
        <v>74</v>
      </c>
      <c r="E110" s="7" t="s">
        <v>75</v>
      </c>
      <c r="F110" s="7" t="s">
        <v>74</v>
      </c>
      <c r="G110" s="9" t="s">
        <v>76</v>
      </c>
      <c r="H110" s="2"/>
      <c r="I110" s="2"/>
      <c r="J110" s="2"/>
      <c r="K110" s="2"/>
    </row>
    <row r="111" spans="1:11">
      <c r="A111" s="10" t="s">
        <v>77</v>
      </c>
      <c r="B111" s="11">
        <v>20.67</v>
      </c>
      <c r="C111" s="104">
        <v>116500</v>
      </c>
      <c r="D111" s="104">
        <v>2672941.0500000003</v>
      </c>
      <c r="E111" s="105"/>
      <c r="F111" s="105"/>
      <c r="G111" s="12" t="s">
        <v>7</v>
      </c>
    </row>
    <row r="112" spans="1:11" ht="15.75" thickBot="1">
      <c r="A112" s="114" t="s">
        <v>90</v>
      </c>
      <c r="B112" s="115">
        <v>52.97</v>
      </c>
      <c r="C112" s="116">
        <v>82153</v>
      </c>
      <c r="D112" s="116">
        <v>4830325.2951000007</v>
      </c>
      <c r="E112" s="106"/>
      <c r="F112" s="106"/>
      <c r="G112" s="117" t="s">
        <v>7</v>
      </c>
    </row>
    <row r="113" spans="1:11">
      <c r="A113" s="120" t="s">
        <v>91</v>
      </c>
      <c r="B113" s="20">
        <v>38.25</v>
      </c>
      <c r="C113" s="108">
        <v>97500</v>
      </c>
      <c r="D113" s="108">
        <v>4139606.2500000005</v>
      </c>
      <c r="E113" s="155"/>
      <c r="F113" s="155"/>
      <c r="G113" s="110" t="s">
        <v>7</v>
      </c>
      <c r="I113" s="33"/>
    </row>
    <row r="114" spans="1:11" ht="15.75" thickBot="1">
      <c r="A114" s="121" t="s">
        <v>91</v>
      </c>
      <c r="B114" s="115">
        <v>40.89</v>
      </c>
      <c r="C114" s="116">
        <v>94000</v>
      </c>
      <c r="D114" s="116">
        <v>4266462.6000000006</v>
      </c>
      <c r="E114" s="106"/>
      <c r="F114" s="106"/>
      <c r="G114" s="119" t="s">
        <v>7</v>
      </c>
      <c r="I114" s="33"/>
    </row>
    <row r="115" spans="1:11">
      <c r="A115" s="22" t="s">
        <v>78</v>
      </c>
      <c r="B115" s="23">
        <v>38.25</v>
      </c>
      <c r="C115" s="156">
        <v>97500</v>
      </c>
      <c r="D115" s="107">
        <v>4139606.2500000005</v>
      </c>
      <c r="E115" s="219">
        <v>98500</v>
      </c>
      <c r="F115" s="107">
        <v>4182063.7500000005</v>
      </c>
      <c r="G115" s="25" t="s">
        <v>30</v>
      </c>
      <c r="H115" s="2"/>
      <c r="I115" s="33"/>
      <c r="K115" s="2"/>
    </row>
    <row r="116" spans="1:11">
      <c r="A116" s="13" t="s">
        <v>79</v>
      </c>
      <c r="B116" s="14">
        <v>43.2</v>
      </c>
      <c r="C116" s="228">
        <v>92000</v>
      </c>
      <c r="D116" s="105">
        <v>4411584.0000000009</v>
      </c>
      <c r="E116" s="221">
        <v>93000</v>
      </c>
      <c r="F116" s="105">
        <v>4459536.0000000009</v>
      </c>
      <c r="G116" s="15" t="s">
        <v>30</v>
      </c>
      <c r="H116" s="2"/>
      <c r="I116" s="33"/>
      <c r="K116" s="2"/>
    </row>
    <row r="117" spans="1:11">
      <c r="A117" s="13" t="s">
        <v>79</v>
      </c>
      <c r="B117" s="14">
        <v>45.32</v>
      </c>
      <c r="C117" s="228">
        <v>91000</v>
      </c>
      <c r="D117" s="105">
        <v>4577773.2</v>
      </c>
      <c r="E117" s="221">
        <v>92000</v>
      </c>
      <c r="F117" s="105">
        <v>4628078.4000000004</v>
      </c>
      <c r="G117" s="15" t="s">
        <v>30</v>
      </c>
      <c r="H117" s="2"/>
      <c r="I117" s="33"/>
      <c r="K117" s="2"/>
    </row>
    <row r="118" spans="1:11">
      <c r="A118" s="13" t="s">
        <v>79</v>
      </c>
      <c r="B118" s="14">
        <v>48.45</v>
      </c>
      <c r="C118" s="228">
        <v>87788</v>
      </c>
      <c r="D118" s="105">
        <v>4721194.7460000012</v>
      </c>
      <c r="E118" s="221">
        <v>88788</v>
      </c>
      <c r="F118" s="105">
        <v>4774974.2460000012</v>
      </c>
      <c r="G118" s="15" t="s">
        <v>30</v>
      </c>
      <c r="H118" s="2"/>
      <c r="I118" s="33"/>
      <c r="K118" s="2"/>
    </row>
    <row r="119" spans="1:11" ht="15.75" thickBot="1">
      <c r="A119" s="16" t="s">
        <v>79</v>
      </c>
      <c r="B119" s="17">
        <v>55.52</v>
      </c>
      <c r="C119" s="157">
        <v>82153</v>
      </c>
      <c r="D119" s="106">
        <v>5062859.3616000013</v>
      </c>
      <c r="E119" s="222">
        <v>83153</v>
      </c>
      <c r="F119" s="106">
        <v>5124486.5616000006</v>
      </c>
      <c r="G119" s="18" t="s">
        <v>30</v>
      </c>
      <c r="H119" s="2"/>
      <c r="I119" s="33"/>
      <c r="K119" s="2"/>
    </row>
    <row r="120" spans="1:11">
      <c r="A120" s="19" t="s">
        <v>80</v>
      </c>
      <c r="B120" s="20">
        <v>18.95</v>
      </c>
      <c r="C120" s="108">
        <v>119500</v>
      </c>
      <c r="D120" s="104">
        <v>2513622.75</v>
      </c>
      <c r="E120" s="108">
        <v>120500</v>
      </c>
      <c r="F120" s="108">
        <v>2534657.25</v>
      </c>
      <c r="G120" s="110" t="s">
        <v>30</v>
      </c>
      <c r="I120" s="33"/>
    </row>
    <row r="121" spans="1:11">
      <c r="A121" s="10" t="s">
        <v>80</v>
      </c>
      <c r="B121" s="11">
        <v>20.67</v>
      </c>
      <c r="C121" s="104">
        <v>116500</v>
      </c>
      <c r="D121" s="104">
        <v>2672941.0500000003</v>
      </c>
      <c r="E121" s="104">
        <v>117500</v>
      </c>
      <c r="F121" s="104">
        <v>2695884.7500000005</v>
      </c>
      <c r="G121" s="109" t="s">
        <v>30</v>
      </c>
      <c r="I121" s="33"/>
    </row>
    <row r="122" spans="1:11">
      <c r="A122" s="22" t="s">
        <v>81</v>
      </c>
      <c r="B122" s="23">
        <v>34.630000000000003</v>
      </c>
      <c r="C122" s="156">
        <v>101204</v>
      </c>
      <c r="D122" s="105">
        <v>3890210.917200001</v>
      </c>
      <c r="E122" s="219">
        <v>102204</v>
      </c>
      <c r="F122" s="105">
        <v>3928650.2172000008</v>
      </c>
      <c r="G122" s="111" t="s">
        <v>30</v>
      </c>
      <c r="I122" s="33"/>
    </row>
    <row r="123" spans="1:11">
      <c r="A123" s="13" t="s">
        <v>82</v>
      </c>
      <c r="B123" s="14">
        <v>38.25</v>
      </c>
      <c r="C123" s="228">
        <v>97500</v>
      </c>
      <c r="D123" s="105">
        <v>4139606.2500000005</v>
      </c>
      <c r="E123" s="221">
        <v>98500</v>
      </c>
      <c r="F123" s="105">
        <v>4182063.7500000005</v>
      </c>
      <c r="G123" s="111" t="s">
        <v>30</v>
      </c>
      <c r="I123" s="33"/>
    </row>
    <row r="124" spans="1:11">
      <c r="A124" s="24" t="s">
        <v>81</v>
      </c>
      <c r="B124" s="14">
        <v>39</v>
      </c>
      <c r="C124" s="228">
        <v>97274</v>
      </c>
      <c r="D124" s="105">
        <v>4210991.46</v>
      </c>
      <c r="E124" s="228">
        <v>98274</v>
      </c>
      <c r="F124" s="105">
        <v>4254281.46</v>
      </c>
      <c r="G124" s="111" t="s">
        <v>30</v>
      </c>
      <c r="I124" s="33"/>
    </row>
    <row r="125" spans="1:11">
      <c r="A125" s="22" t="s">
        <v>83</v>
      </c>
      <c r="B125" s="23">
        <v>40.89</v>
      </c>
      <c r="C125" s="156">
        <v>94000</v>
      </c>
      <c r="D125" s="107">
        <v>4266462.6000000006</v>
      </c>
      <c r="E125" s="219">
        <v>95000</v>
      </c>
      <c r="F125" s="107">
        <v>4311850.5</v>
      </c>
      <c r="G125" s="112" t="s">
        <v>30</v>
      </c>
      <c r="I125" s="33"/>
    </row>
    <row r="126" spans="1:11">
      <c r="A126" s="13" t="s">
        <v>83</v>
      </c>
      <c r="B126" s="14">
        <v>43.2</v>
      </c>
      <c r="C126" s="228">
        <v>92000</v>
      </c>
      <c r="D126" s="105">
        <v>4411584.0000000009</v>
      </c>
      <c r="E126" s="221">
        <v>93000</v>
      </c>
      <c r="F126" s="105">
        <v>4459536.0000000009</v>
      </c>
      <c r="G126" s="111" t="s">
        <v>30</v>
      </c>
      <c r="I126" s="33"/>
    </row>
    <row r="127" spans="1:11">
      <c r="A127" s="13" t="s">
        <v>83</v>
      </c>
      <c r="B127" s="14">
        <v>45.32</v>
      </c>
      <c r="C127" s="228">
        <v>91000</v>
      </c>
      <c r="D127" s="105">
        <v>4577773.2</v>
      </c>
      <c r="E127" s="221">
        <v>92000</v>
      </c>
      <c r="F127" s="105">
        <v>4628078.4000000004</v>
      </c>
      <c r="G127" s="111" t="s">
        <v>30</v>
      </c>
      <c r="I127" s="33"/>
    </row>
    <row r="128" spans="1:11">
      <c r="A128" s="13" t="s">
        <v>83</v>
      </c>
      <c r="B128" s="14">
        <v>48.45</v>
      </c>
      <c r="C128" s="228">
        <v>87788</v>
      </c>
      <c r="D128" s="105">
        <v>4721194.7460000012</v>
      </c>
      <c r="E128" s="221">
        <v>88788</v>
      </c>
      <c r="F128" s="105">
        <v>4774974.2460000012</v>
      </c>
      <c r="G128" s="111" t="s">
        <v>30</v>
      </c>
      <c r="I128" s="33"/>
    </row>
    <row r="129" spans="1:9" ht="15.75" thickBot="1">
      <c r="A129" s="16" t="s">
        <v>83</v>
      </c>
      <c r="B129" s="17">
        <v>55.52</v>
      </c>
      <c r="C129" s="157">
        <v>82153</v>
      </c>
      <c r="D129" s="106">
        <v>5062859.3616000013</v>
      </c>
      <c r="E129" s="222">
        <v>83153</v>
      </c>
      <c r="F129" s="106">
        <v>5124486.5616000006</v>
      </c>
      <c r="G129" s="113" t="s">
        <v>30</v>
      </c>
      <c r="I129" s="33"/>
    </row>
    <row r="130" spans="1:9">
      <c r="A130" s="19" t="s">
        <v>84</v>
      </c>
      <c r="B130" s="20">
        <v>17</v>
      </c>
      <c r="C130" s="108">
        <f>125100+1000</f>
        <v>126100</v>
      </c>
      <c r="D130" s="108">
        <v>2379507</v>
      </c>
      <c r="E130" s="108">
        <f>126100+1000</f>
        <v>127100</v>
      </c>
      <c r="F130" s="108">
        <v>2398377</v>
      </c>
      <c r="G130" s="110" t="s">
        <v>30</v>
      </c>
      <c r="I130" s="33"/>
    </row>
    <row r="131" spans="1:9">
      <c r="A131" s="26" t="s">
        <v>84</v>
      </c>
      <c r="B131" s="11">
        <v>17.3</v>
      </c>
      <c r="C131" s="104">
        <f>125100+1000</f>
        <v>126100</v>
      </c>
      <c r="D131" s="104">
        <v>2421498.3000000003</v>
      </c>
      <c r="E131" s="104">
        <f>126100+1000</f>
        <v>127100</v>
      </c>
      <c r="F131" s="104">
        <v>2440701.3000000003</v>
      </c>
      <c r="G131" s="109" t="s">
        <v>30</v>
      </c>
      <c r="I131" s="33"/>
    </row>
    <row r="132" spans="1:9">
      <c r="A132" s="27" t="s">
        <v>84</v>
      </c>
      <c r="B132" s="11">
        <v>20</v>
      </c>
      <c r="C132" s="104">
        <f>120100+1000</f>
        <v>121100</v>
      </c>
      <c r="D132" s="104">
        <v>2688420.0000000005</v>
      </c>
      <c r="E132" s="104">
        <f>121100+1000</f>
        <v>122100</v>
      </c>
      <c r="F132" s="104">
        <v>2710620.0000000005</v>
      </c>
      <c r="G132" s="109" t="s">
        <v>30</v>
      </c>
      <c r="I132" s="33"/>
    </row>
    <row r="133" spans="1:9">
      <c r="A133" s="26" t="s">
        <v>84</v>
      </c>
      <c r="B133" s="11">
        <v>20.3</v>
      </c>
      <c r="C133" s="104">
        <f>120100+1000</f>
        <v>121100</v>
      </c>
      <c r="D133" s="104">
        <v>2728746.3000000003</v>
      </c>
      <c r="E133" s="104">
        <f>121100+1000</f>
        <v>122100</v>
      </c>
      <c r="F133" s="104">
        <v>2751279.3000000003</v>
      </c>
      <c r="G133" s="109" t="s">
        <v>30</v>
      </c>
      <c r="I133" s="33"/>
    </row>
    <row r="134" spans="1:9">
      <c r="A134" s="13" t="s">
        <v>85</v>
      </c>
      <c r="B134" s="14">
        <v>42.1</v>
      </c>
      <c r="C134" s="228">
        <f>92000+1000</f>
        <v>93000</v>
      </c>
      <c r="D134" s="105">
        <v>4345983</v>
      </c>
      <c r="E134" s="221">
        <f>93000+1000</f>
        <v>94000</v>
      </c>
      <c r="F134" s="105">
        <v>4392714</v>
      </c>
      <c r="G134" s="111" t="s">
        <v>30</v>
      </c>
      <c r="I134" s="33"/>
    </row>
    <row r="135" spans="1:9">
      <c r="A135" s="22" t="s">
        <v>86</v>
      </c>
      <c r="B135" s="14">
        <v>46.7</v>
      </c>
      <c r="C135" s="228">
        <f>91000+1000</f>
        <v>92000</v>
      </c>
      <c r="D135" s="105">
        <v>4769004</v>
      </c>
      <c r="E135" s="221">
        <f>92000+1000</f>
        <v>93000</v>
      </c>
      <c r="F135" s="105">
        <v>4820841</v>
      </c>
      <c r="G135" s="111" t="s">
        <v>30</v>
      </c>
      <c r="I135" s="33"/>
    </row>
    <row r="136" spans="1:9" ht="15.75" thickBot="1">
      <c r="A136" s="16" t="s">
        <v>86</v>
      </c>
      <c r="B136" s="17">
        <v>57.1</v>
      </c>
      <c r="C136" s="157">
        <f>82153+1000</f>
        <v>83153</v>
      </c>
      <c r="D136" s="106">
        <v>5270320.2930000005</v>
      </c>
      <c r="E136" s="222">
        <f>83153+1000</f>
        <v>84153</v>
      </c>
      <c r="F136" s="106">
        <v>5333701.2930000005</v>
      </c>
      <c r="G136" s="113" t="s">
        <v>30</v>
      </c>
      <c r="I136" s="33"/>
    </row>
    <row r="137" spans="1:9">
      <c r="A137" s="19" t="s">
        <v>87</v>
      </c>
      <c r="B137" s="20">
        <v>17</v>
      </c>
      <c r="C137" s="108">
        <v>125100</v>
      </c>
      <c r="D137" s="108">
        <v>2360637</v>
      </c>
      <c r="E137" s="108">
        <v>126100</v>
      </c>
      <c r="F137" s="108">
        <v>2379507</v>
      </c>
      <c r="G137" s="21" t="s">
        <v>7</v>
      </c>
      <c r="I137" s="33"/>
    </row>
    <row r="138" spans="1:9">
      <c r="A138" s="26" t="s">
        <v>87</v>
      </c>
      <c r="B138" s="11">
        <v>17.3</v>
      </c>
      <c r="C138" s="104">
        <v>125100</v>
      </c>
      <c r="D138" s="104">
        <v>2402295.3000000003</v>
      </c>
      <c r="E138" s="104">
        <v>126100</v>
      </c>
      <c r="F138" s="104">
        <v>2421498.3000000003</v>
      </c>
      <c r="G138" s="12" t="s">
        <v>7</v>
      </c>
      <c r="I138" s="33"/>
    </row>
    <row r="139" spans="1:9">
      <c r="A139" s="27" t="s">
        <v>87</v>
      </c>
      <c r="B139" s="11">
        <v>20</v>
      </c>
      <c r="C139" s="104">
        <v>120100</v>
      </c>
      <c r="D139" s="104">
        <v>2666220.0000000005</v>
      </c>
      <c r="E139" s="104">
        <v>121100</v>
      </c>
      <c r="F139" s="104">
        <v>2688420.0000000005</v>
      </c>
      <c r="G139" s="12" t="s">
        <v>7</v>
      </c>
      <c r="I139" s="33"/>
    </row>
    <row r="140" spans="1:9">
      <c r="A140" s="26" t="s">
        <v>87</v>
      </c>
      <c r="B140" s="11">
        <v>20.3</v>
      </c>
      <c r="C140" s="104">
        <v>120100</v>
      </c>
      <c r="D140" s="104">
        <v>2706213.3000000003</v>
      </c>
      <c r="E140" s="104">
        <v>121100</v>
      </c>
      <c r="F140" s="104">
        <v>2728746.3000000003</v>
      </c>
      <c r="G140" s="12" t="s">
        <v>7</v>
      </c>
      <c r="I140" s="33"/>
    </row>
    <row r="141" spans="1:9">
      <c r="A141" s="13" t="s">
        <v>88</v>
      </c>
      <c r="B141" s="14">
        <v>42.1</v>
      </c>
      <c r="C141" s="228">
        <v>92000</v>
      </c>
      <c r="D141" s="105">
        <v>4299252</v>
      </c>
      <c r="E141" s="221">
        <v>93000</v>
      </c>
      <c r="F141" s="105">
        <v>4345983</v>
      </c>
      <c r="G141" s="15" t="s">
        <v>7</v>
      </c>
      <c r="I141" s="33"/>
    </row>
    <row r="142" spans="1:9">
      <c r="A142" s="22" t="s">
        <v>89</v>
      </c>
      <c r="B142" s="14">
        <v>46.7</v>
      </c>
      <c r="C142" s="228">
        <v>91000</v>
      </c>
      <c r="D142" s="105">
        <v>4717167</v>
      </c>
      <c r="E142" s="221">
        <v>92000</v>
      </c>
      <c r="F142" s="105">
        <v>4769004</v>
      </c>
      <c r="G142" s="15" t="s">
        <v>7</v>
      </c>
      <c r="I142" s="33"/>
    </row>
    <row r="143" spans="1:9" ht="15.75" thickBot="1">
      <c r="A143" s="16" t="s">
        <v>89</v>
      </c>
      <c r="B143" s="17">
        <v>57.1</v>
      </c>
      <c r="C143" s="157">
        <v>82153</v>
      </c>
      <c r="D143" s="106">
        <v>5206939.2930000005</v>
      </c>
      <c r="E143" s="222">
        <v>83153</v>
      </c>
      <c r="F143" s="106">
        <v>5270320.2930000005</v>
      </c>
      <c r="G143" s="18" t="s">
        <v>7</v>
      </c>
      <c r="I143" s="33"/>
    </row>
  </sheetData>
  <pageMargins left="0.511811023622047" right="0.118110236220472" top="0.35433070866141703" bottom="0.35433070866141703" header="0.31496062992126" footer="0.31496062992126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Предложения</vt:lpstr>
      <vt:lpstr>РАСЧЕТ по Банкам</vt:lpstr>
      <vt:lpstr>Кольцово Акция до 31.03.</vt:lpstr>
      <vt:lpstr>ЖК ВЛ АКЦИЯ до 31.03.</vt:lpstr>
      <vt:lpstr>ЖК ВЛ</vt:lpstr>
      <vt:lpstr>ЖК ЛМ3 Акция до 31.03</vt:lpstr>
      <vt:lpstr>ЖК ЛМ3</vt:lpstr>
      <vt:lpstr>ЖК Медовый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Екатерина Маркова</dc:creator>
  <cp:lastModifiedBy>Маркова</cp:lastModifiedBy>
  <cp:lastPrinted>2025-01-31T12:26:24Z</cp:lastPrinted>
  <dcterms:created xsi:type="dcterms:W3CDTF">2019-02-27T13:48:00Z</dcterms:created>
  <dcterms:modified xsi:type="dcterms:W3CDTF">2025-02-20T07:15:47Z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6A13B7911CBE41D494C52A97D58F283D_12</vt:lpwstr>
  </property>
  <property fmtid="{D5CDD505-2E9C-101B-9397-08002B2CF9AE}" pid="3" name="KSOProductBuildVer">
    <vt:lpwstr>1049-12.2.0.19307</vt:lpwstr>
  </property>
</Properties>
</file>